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Consulting Content\Articles\A3_Liq Model (Part B)\Published\"/>
    </mc:Choice>
  </mc:AlternateContent>
  <xr:revisionPtr revIDLastSave="0" documentId="13_ncr:1_{D269F42E-1E94-4BAC-A4CE-2B4EB731021A}" xr6:coauthVersionLast="47" xr6:coauthVersionMax="47" xr10:uidLastSave="{00000000-0000-0000-0000-000000000000}"/>
  <workbookProtection workbookAlgorithmName="SHA-512" workbookHashValue="dvhT1U48afwr9nO6/CLPo8cnYN/JN5c1heCScviWLqWvr26duzB9/1+o8pC1fMA+4oDNjY4AhefyCk4Mo3sMAw==" workbookSaltValue="s/M/w0gPn8aOo5YfIhPF2A==" workbookSpinCount="100000" lockStructure="1"/>
  <bookViews>
    <workbookView xWindow="-98" yWindow="-98" windowWidth="24196" windowHeight="13096" xr2:uid="{51F0DBAA-E575-4E73-B56A-22C90E5F741C}"/>
  </bookViews>
  <sheets>
    <sheet name="Read Me" sheetId="2" r:id="rId1"/>
    <sheet name="Top Down (B)" sheetId="3" r:id="rId2"/>
  </sheets>
  <calcPr calcId="191029" iterate="1" iterateCount="1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8" i="3" l="1"/>
  <c r="C27" i="3"/>
  <c r="C26" i="3"/>
  <c r="C25" i="3"/>
  <c r="J25" i="3"/>
  <c r="J27" i="3"/>
  <c r="J26" i="3"/>
  <c r="E10" i="3"/>
  <c r="E9" i="3"/>
  <c r="C21" i="3" l="1"/>
  <c r="E21" i="3" s="1"/>
  <c r="C22" i="3"/>
  <c r="E5" i="3"/>
  <c r="E6" i="3"/>
  <c r="H21" i="3" l="1"/>
  <c r="J21" i="3" s="1"/>
  <c r="E22" i="3"/>
  <c r="H22" i="3" l="1"/>
  <c r="J22" i="3" s="1"/>
  <c r="C10" i="2" l="1" a="1"/>
  <c r="C10" i="2" s="1"/>
  <c r="D38" i="3" l="1"/>
  <c r="E38" i="3" s="1"/>
  <c r="F38" i="3" s="1"/>
  <c r="G38" i="3" s="1"/>
  <c r="H38" i="3" s="1"/>
  <c r="I38" i="3" s="1"/>
  <c r="J38" i="3" s="1"/>
  <c r="K38" i="3" s="1"/>
  <c r="L38" i="3" s="1"/>
  <c r="D37" i="3"/>
  <c r="E37" i="3" s="1"/>
  <c r="C39" i="3"/>
  <c r="C41" i="3" s="1"/>
  <c r="C89" i="3" s="1"/>
  <c r="J28" i="3"/>
  <c r="C23" i="3"/>
  <c r="E23" i="3" s="1"/>
  <c r="C24" i="3"/>
  <c r="C20" i="3"/>
  <c r="F29" i="3"/>
  <c r="D12" i="3"/>
  <c r="D14" i="3" s="1"/>
  <c r="E7" i="3"/>
  <c r="E8" i="3"/>
  <c r="E11" i="3"/>
  <c r="E13" i="3"/>
  <c r="E4" i="3"/>
  <c r="C12" i="3"/>
  <c r="C14" i="3" s="1"/>
  <c r="J68" i="3" l="1"/>
  <c r="K68" i="3"/>
  <c r="D68" i="3"/>
  <c r="L68" i="3"/>
  <c r="E68" i="3"/>
  <c r="C68" i="3"/>
  <c r="F68" i="3"/>
  <c r="H68" i="3"/>
  <c r="I68" i="3"/>
  <c r="G68" i="3"/>
  <c r="F10" i="3"/>
  <c r="F9" i="3"/>
  <c r="D44" i="3"/>
  <c r="F11" i="3"/>
  <c r="F6" i="3"/>
  <c r="F5" i="3"/>
  <c r="E12" i="3"/>
  <c r="F4" i="3"/>
  <c r="F13" i="3"/>
  <c r="F7" i="3"/>
  <c r="F8" i="3"/>
  <c r="E39" i="3"/>
  <c r="E41" i="3" s="1"/>
  <c r="F37" i="3"/>
  <c r="D39" i="3"/>
  <c r="D41" i="3" s="1"/>
  <c r="D89" i="3" s="1"/>
  <c r="C29" i="3"/>
  <c r="H23" i="3"/>
  <c r="J23" i="3" s="1"/>
  <c r="E14" i="3"/>
  <c r="D26" i="3" l="1"/>
  <c r="D25" i="3"/>
  <c r="D27" i="3"/>
  <c r="D21" i="3"/>
  <c r="D22" i="3"/>
  <c r="D20" i="3"/>
  <c r="H29" i="3"/>
  <c r="F12" i="3"/>
  <c r="F14" i="3" s="1"/>
  <c r="D24" i="3"/>
  <c r="G37" i="3"/>
  <c r="F39" i="3"/>
  <c r="F41" i="3" s="1"/>
  <c r="D23" i="3"/>
  <c r="D28" i="3"/>
  <c r="H37" i="3" l="1"/>
  <c r="G39" i="3"/>
  <c r="G41" i="3" s="1"/>
  <c r="D29" i="3"/>
  <c r="H39" i="3" l="1"/>
  <c r="H41" i="3" s="1"/>
  <c r="I37" i="3"/>
  <c r="I39" i="3" l="1"/>
  <c r="I41" i="3" s="1"/>
  <c r="J37" i="3"/>
  <c r="K37" i="3" l="1"/>
  <c r="J39" i="3"/>
  <c r="J41" i="3" s="1"/>
  <c r="L37" i="3" l="1"/>
  <c r="L39" i="3" s="1"/>
  <c r="L41" i="3" s="1"/>
  <c r="K39" i="3"/>
  <c r="K41" i="3" s="1"/>
  <c r="E44" i="3"/>
  <c r="F44" i="3"/>
  <c r="G44" i="3"/>
  <c r="C47" i="3"/>
  <c r="D47" i="3"/>
  <c r="E47" i="3"/>
  <c r="F47" i="3"/>
  <c r="G47" i="3"/>
  <c r="H47" i="3"/>
  <c r="I47" i="3"/>
  <c r="J47" i="3"/>
  <c r="K47" i="3"/>
  <c r="L47" i="3"/>
  <c r="C48" i="3"/>
  <c r="D48" i="3"/>
  <c r="E48" i="3"/>
  <c r="F48" i="3"/>
  <c r="G48" i="3"/>
  <c r="H48" i="3"/>
  <c r="I48" i="3"/>
  <c r="J48" i="3"/>
  <c r="K48" i="3"/>
  <c r="L48" i="3"/>
  <c r="C49" i="3"/>
  <c r="D49" i="3"/>
  <c r="E49" i="3"/>
  <c r="F49" i="3"/>
  <c r="G49" i="3"/>
  <c r="H49" i="3"/>
  <c r="I49" i="3"/>
  <c r="J49" i="3"/>
  <c r="K49" i="3"/>
  <c r="L49" i="3"/>
  <c r="C51" i="3"/>
  <c r="D51" i="3"/>
  <c r="E51" i="3"/>
  <c r="F51" i="3"/>
  <c r="G51" i="3"/>
  <c r="H51" i="3"/>
  <c r="I51" i="3"/>
  <c r="J51" i="3"/>
  <c r="K51" i="3"/>
  <c r="L51" i="3"/>
  <c r="C52" i="3"/>
  <c r="D52" i="3"/>
  <c r="E52" i="3"/>
  <c r="F52" i="3"/>
  <c r="G52" i="3"/>
  <c r="H52" i="3"/>
  <c r="I52" i="3"/>
  <c r="J52" i="3"/>
  <c r="K52" i="3"/>
  <c r="L52" i="3"/>
  <c r="C53" i="3"/>
  <c r="D53" i="3"/>
  <c r="E53" i="3"/>
  <c r="F53" i="3"/>
  <c r="G53" i="3"/>
  <c r="H53" i="3"/>
  <c r="I53" i="3"/>
  <c r="J53" i="3"/>
  <c r="K53" i="3"/>
  <c r="L53" i="3"/>
  <c r="C55" i="3"/>
  <c r="D55" i="3"/>
  <c r="E55" i="3"/>
  <c r="F55" i="3"/>
  <c r="G55" i="3"/>
  <c r="H55" i="3"/>
  <c r="I55" i="3"/>
  <c r="J55" i="3"/>
  <c r="K55" i="3"/>
  <c r="L55" i="3"/>
  <c r="C56" i="3"/>
  <c r="D56" i="3"/>
  <c r="E56" i="3"/>
  <c r="F56" i="3"/>
  <c r="G56" i="3"/>
  <c r="H56" i="3"/>
  <c r="I56" i="3"/>
  <c r="J56" i="3"/>
  <c r="K56" i="3"/>
  <c r="L56" i="3"/>
  <c r="C57" i="3"/>
  <c r="D57" i="3"/>
  <c r="E57" i="3"/>
  <c r="F57" i="3"/>
  <c r="G57" i="3"/>
  <c r="H57" i="3"/>
  <c r="I57" i="3"/>
  <c r="J57" i="3"/>
  <c r="K57" i="3"/>
  <c r="L57" i="3"/>
  <c r="C59" i="3"/>
  <c r="D59" i="3"/>
  <c r="E59" i="3"/>
  <c r="F59" i="3"/>
  <c r="G59" i="3"/>
  <c r="H59" i="3"/>
  <c r="I59" i="3"/>
  <c r="J59" i="3"/>
  <c r="K59" i="3"/>
  <c r="L59" i="3"/>
  <c r="C61" i="3"/>
  <c r="D61" i="3"/>
  <c r="E61" i="3"/>
  <c r="F61" i="3"/>
  <c r="G61" i="3"/>
  <c r="H61" i="3"/>
  <c r="I61" i="3"/>
  <c r="J61" i="3"/>
  <c r="K61" i="3"/>
  <c r="L61" i="3"/>
  <c r="C65" i="3"/>
  <c r="D65" i="3"/>
  <c r="E65" i="3"/>
  <c r="F65" i="3"/>
  <c r="G65" i="3"/>
  <c r="H65" i="3"/>
  <c r="I65" i="3"/>
  <c r="J65" i="3"/>
  <c r="K65" i="3"/>
  <c r="L65" i="3"/>
  <c r="C66" i="3"/>
  <c r="D66" i="3"/>
  <c r="E66" i="3"/>
  <c r="F66" i="3"/>
  <c r="G66" i="3"/>
  <c r="H66" i="3"/>
  <c r="I66" i="3"/>
  <c r="J66" i="3"/>
  <c r="K66" i="3"/>
  <c r="L66" i="3"/>
  <c r="C67" i="3"/>
  <c r="D67" i="3"/>
  <c r="E67" i="3"/>
  <c r="F67" i="3"/>
  <c r="G67" i="3"/>
  <c r="H67" i="3"/>
  <c r="I67" i="3"/>
  <c r="J67" i="3"/>
  <c r="K67" i="3"/>
  <c r="L67" i="3"/>
  <c r="C69" i="3"/>
  <c r="D69" i="3"/>
  <c r="E69" i="3"/>
  <c r="F69" i="3"/>
  <c r="G69" i="3"/>
  <c r="H69" i="3"/>
  <c r="I69" i="3"/>
  <c r="J69" i="3"/>
  <c r="K69" i="3"/>
  <c r="L69" i="3"/>
  <c r="C70" i="3"/>
  <c r="D70" i="3"/>
  <c r="E70" i="3"/>
  <c r="F70" i="3"/>
  <c r="G70" i="3"/>
  <c r="H70" i="3"/>
  <c r="I70" i="3"/>
  <c r="J70" i="3"/>
  <c r="K70" i="3"/>
  <c r="L70" i="3"/>
  <c r="C71" i="3"/>
  <c r="D71" i="3"/>
  <c r="E71" i="3"/>
  <c r="F71" i="3"/>
  <c r="G71" i="3"/>
  <c r="H71" i="3"/>
  <c r="I71" i="3"/>
  <c r="J71" i="3"/>
  <c r="K71" i="3"/>
  <c r="L71" i="3"/>
  <c r="C72" i="3"/>
  <c r="D72" i="3"/>
  <c r="E72" i="3"/>
  <c r="F72" i="3"/>
  <c r="G72" i="3"/>
  <c r="H72" i="3"/>
  <c r="I72" i="3"/>
  <c r="J72" i="3"/>
  <c r="K72" i="3"/>
  <c r="L72" i="3"/>
  <c r="C73" i="3"/>
  <c r="D73" i="3"/>
  <c r="E73" i="3"/>
  <c r="F73" i="3"/>
  <c r="G73" i="3"/>
  <c r="H73" i="3"/>
  <c r="I73" i="3"/>
  <c r="J73" i="3"/>
  <c r="K73" i="3"/>
  <c r="L73" i="3"/>
  <c r="C75" i="3"/>
  <c r="D75" i="3"/>
  <c r="E75" i="3"/>
  <c r="F75" i="3"/>
  <c r="G75" i="3"/>
  <c r="H75" i="3"/>
  <c r="I75" i="3"/>
  <c r="J75" i="3"/>
  <c r="K75" i="3"/>
  <c r="L75" i="3"/>
  <c r="C79" i="3"/>
  <c r="D79" i="3"/>
  <c r="E79" i="3"/>
  <c r="F79" i="3"/>
  <c r="G79" i="3"/>
  <c r="H79" i="3"/>
  <c r="I79" i="3"/>
  <c r="J79" i="3"/>
  <c r="K79" i="3"/>
  <c r="L79" i="3"/>
  <c r="C80" i="3"/>
  <c r="D80" i="3"/>
  <c r="E80" i="3"/>
  <c r="F80" i="3"/>
  <c r="G80" i="3"/>
  <c r="H80" i="3"/>
  <c r="I80" i="3"/>
  <c r="J80" i="3"/>
  <c r="K80" i="3"/>
  <c r="L80" i="3"/>
  <c r="C81" i="3"/>
  <c r="D81" i="3"/>
  <c r="E81" i="3"/>
  <c r="F81" i="3"/>
  <c r="G81" i="3"/>
  <c r="H81" i="3"/>
  <c r="I81" i="3"/>
  <c r="J81" i="3"/>
  <c r="K81" i="3"/>
  <c r="L81" i="3"/>
  <c r="C82" i="3"/>
  <c r="D82" i="3"/>
  <c r="E82" i="3"/>
  <c r="F82" i="3"/>
  <c r="G82" i="3"/>
  <c r="H82" i="3"/>
  <c r="I82" i="3"/>
  <c r="J82" i="3"/>
  <c r="K82" i="3"/>
  <c r="L82" i="3"/>
  <c r="C83" i="3"/>
  <c r="D83" i="3"/>
  <c r="E83" i="3"/>
  <c r="F83" i="3"/>
  <c r="G83" i="3"/>
  <c r="H83" i="3"/>
  <c r="I83" i="3"/>
  <c r="J83" i="3"/>
  <c r="K83" i="3"/>
  <c r="L83" i="3"/>
  <c r="C84" i="3"/>
  <c r="D84" i="3"/>
  <c r="E84" i="3"/>
  <c r="F84" i="3"/>
  <c r="G84" i="3"/>
  <c r="H84" i="3"/>
  <c r="I84" i="3"/>
  <c r="J84" i="3"/>
  <c r="K84" i="3"/>
  <c r="L84" i="3"/>
  <c r="C85" i="3"/>
  <c r="D85" i="3"/>
  <c r="E85" i="3"/>
  <c r="F85" i="3"/>
  <c r="G85" i="3"/>
  <c r="H85" i="3"/>
  <c r="I85" i="3"/>
  <c r="J85" i="3"/>
  <c r="K85" i="3"/>
  <c r="L85" i="3"/>
  <c r="C86" i="3"/>
  <c r="D86" i="3"/>
  <c r="E86" i="3"/>
  <c r="F86" i="3"/>
  <c r="G86" i="3"/>
  <c r="H86" i="3"/>
  <c r="I86" i="3"/>
  <c r="J86" i="3"/>
  <c r="K86" i="3"/>
  <c r="L86" i="3"/>
  <c r="C87" i="3"/>
  <c r="D87" i="3"/>
  <c r="E87" i="3"/>
  <c r="F87" i="3"/>
  <c r="G87" i="3"/>
  <c r="H87" i="3"/>
  <c r="I87" i="3"/>
  <c r="J87" i="3"/>
  <c r="K87" i="3"/>
  <c r="L87" i="3"/>
  <c r="E89" i="3"/>
  <c r="F89" i="3"/>
  <c r="G89" i="3"/>
  <c r="H89" i="3"/>
  <c r="I89" i="3"/>
  <c r="J89" i="3"/>
  <c r="K89" i="3"/>
  <c r="L89" i="3"/>
  <c r="C93" i="3"/>
  <c r="D93" i="3"/>
  <c r="E93" i="3"/>
  <c r="F93" i="3"/>
  <c r="G93" i="3"/>
  <c r="H93" i="3"/>
  <c r="I93" i="3"/>
  <c r="J93" i="3"/>
  <c r="K93" i="3"/>
  <c r="L93" i="3"/>
  <c r="C94" i="3"/>
  <c r="D94" i="3"/>
  <c r="E94" i="3"/>
  <c r="F94" i="3"/>
  <c r="G94" i="3"/>
  <c r="H94" i="3"/>
  <c r="I94" i="3"/>
  <c r="J94" i="3"/>
  <c r="K94" i="3"/>
  <c r="L94" i="3"/>
  <c r="C95" i="3"/>
  <c r="D95" i="3"/>
  <c r="E95" i="3"/>
  <c r="F95" i="3"/>
  <c r="G95" i="3"/>
  <c r="H95" i="3"/>
  <c r="I95" i="3"/>
  <c r="J95" i="3"/>
  <c r="K95" i="3"/>
  <c r="L95" i="3"/>
  <c r="C96" i="3"/>
  <c r="D96" i="3"/>
  <c r="E96" i="3"/>
  <c r="F96" i="3"/>
  <c r="G96" i="3"/>
  <c r="H96" i="3"/>
  <c r="I96" i="3"/>
  <c r="J96" i="3"/>
  <c r="K96" i="3"/>
  <c r="L96" i="3"/>
  <c r="C97" i="3"/>
  <c r="D97" i="3"/>
  <c r="E97" i="3"/>
  <c r="F97" i="3"/>
  <c r="G97" i="3"/>
  <c r="H97" i="3"/>
  <c r="I97" i="3"/>
  <c r="J97" i="3"/>
  <c r="K97" i="3"/>
  <c r="L97" i="3"/>
  <c r="C98" i="3"/>
  <c r="D98" i="3"/>
  <c r="E98" i="3"/>
  <c r="F98" i="3"/>
  <c r="G98" i="3"/>
  <c r="H98" i="3"/>
  <c r="I98" i="3"/>
  <c r="J98" i="3"/>
  <c r="K98" i="3"/>
  <c r="L98" i="3"/>
  <c r="C99" i="3"/>
  <c r="D99" i="3"/>
  <c r="E99" i="3"/>
  <c r="F99" i="3"/>
  <c r="G99" i="3"/>
  <c r="H99" i="3"/>
  <c r="I99" i="3"/>
  <c r="J99" i="3"/>
  <c r="K99" i="3"/>
  <c r="L99" i="3"/>
  <c r="C100" i="3"/>
  <c r="D100" i="3"/>
  <c r="E100" i="3"/>
  <c r="F100" i="3"/>
  <c r="G100" i="3"/>
  <c r="H100" i="3"/>
  <c r="I100" i="3"/>
  <c r="J100" i="3"/>
  <c r="K100" i="3"/>
  <c r="L100" i="3"/>
  <c r="C101" i="3"/>
  <c r="D101" i="3"/>
  <c r="E101" i="3"/>
  <c r="F101" i="3"/>
  <c r="G101" i="3"/>
  <c r="H101" i="3"/>
  <c r="I101" i="3"/>
  <c r="J101" i="3"/>
  <c r="K101" i="3"/>
  <c r="L101" i="3"/>
  <c r="C105" i="3"/>
  <c r="D105" i="3"/>
  <c r="E105" i="3"/>
  <c r="F105" i="3"/>
  <c r="G105" i="3"/>
  <c r="H105" i="3"/>
  <c r="I105" i="3"/>
  <c r="J105" i="3"/>
  <c r="K105" i="3"/>
  <c r="L105" i="3"/>
  <c r="C106" i="3"/>
  <c r="D106" i="3"/>
  <c r="E106" i="3"/>
  <c r="F106" i="3"/>
  <c r="G106" i="3"/>
  <c r="H106" i="3"/>
  <c r="I106" i="3"/>
  <c r="J106" i="3"/>
  <c r="K106" i="3"/>
  <c r="L106" i="3"/>
  <c r="C107" i="3"/>
  <c r="D107" i="3"/>
  <c r="E107" i="3"/>
  <c r="F107" i="3"/>
  <c r="G107" i="3"/>
  <c r="H107" i="3"/>
  <c r="I107" i="3"/>
  <c r="J107" i="3"/>
  <c r="K107" i="3"/>
  <c r="L107" i="3"/>
  <c r="C108" i="3"/>
  <c r="D108" i="3"/>
  <c r="E108" i="3"/>
  <c r="F108" i="3"/>
  <c r="G108" i="3"/>
  <c r="H108" i="3"/>
  <c r="I108" i="3"/>
  <c r="J108" i="3"/>
  <c r="K108" i="3"/>
  <c r="L108" i="3"/>
  <c r="C109" i="3"/>
  <c r="D109" i="3"/>
  <c r="E109" i="3"/>
  <c r="F109" i="3"/>
  <c r="G109" i="3"/>
  <c r="H109" i="3"/>
  <c r="I109" i="3"/>
  <c r="J109" i="3"/>
  <c r="K109" i="3"/>
  <c r="L109" i="3"/>
  <c r="C110" i="3"/>
  <c r="D110" i="3"/>
  <c r="E110" i="3"/>
  <c r="F110" i="3"/>
  <c r="G110" i="3"/>
  <c r="H110" i="3"/>
  <c r="I110" i="3"/>
  <c r="J110" i="3"/>
  <c r="K110" i="3"/>
  <c r="L110" i="3"/>
  <c r="C111" i="3"/>
  <c r="D111" i="3"/>
  <c r="E111" i="3"/>
  <c r="F111" i="3"/>
  <c r="G111" i="3"/>
  <c r="H111" i="3"/>
  <c r="I111" i="3"/>
  <c r="J111" i="3"/>
  <c r="K111" i="3"/>
  <c r="L111" i="3"/>
  <c r="C112" i="3"/>
  <c r="D112" i="3"/>
  <c r="E112" i="3"/>
  <c r="F112" i="3"/>
  <c r="G112" i="3"/>
  <c r="H112" i="3"/>
  <c r="I112" i="3"/>
  <c r="J112" i="3"/>
  <c r="K112" i="3"/>
  <c r="L112" i="3"/>
  <c r="C113" i="3"/>
  <c r="D113" i="3"/>
  <c r="E113" i="3"/>
  <c r="F113" i="3"/>
  <c r="G113" i="3"/>
  <c r="H113" i="3"/>
  <c r="I113" i="3"/>
  <c r="J113" i="3"/>
  <c r="K113" i="3"/>
  <c r="L113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<sst xmlns="http://schemas.openxmlformats.org/spreadsheetml/2006/main" count="111" uniqueCount="64">
  <si>
    <t>File:</t>
  </si>
  <si>
    <t>Version:</t>
  </si>
  <si>
    <t xml:space="preserve">Shareholdings: </t>
  </si>
  <si>
    <t>Liquidation Model</t>
  </si>
  <si>
    <t>(placeholder)</t>
  </si>
  <si>
    <t>Series A</t>
  </si>
  <si>
    <t>Common</t>
  </si>
  <si>
    <t>Difference</t>
  </si>
  <si>
    <t>Ownership %</t>
  </si>
  <si>
    <t>Shares (per Cap Table)</t>
  </si>
  <si>
    <t>Sale Price</t>
  </si>
  <si>
    <t>Capitalization Table Summary</t>
  </si>
  <si>
    <t>Original Issue Price</t>
  </si>
  <si>
    <t>Investment</t>
  </si>
  <si>
    <t>Liquidation Multiple</t>
  </si>
  <si>
    <t>Warrant/Option Strike Price</t>
  </si>
  <si>
    <t>Breakpoint Price per Common Share</t>
  </si>
  <si>
    <t>Common Options (Remaining for issuance)</t>
  </si>
  <si>
    <t>Term Loan 2</t>
  </si>
  <si>
    <t>Term Loan 1</t>
  </si>
  <si>
    <t>Equity Total</t>
  </si>
  <si>
    <t>Liquidation Preference Amount</t>
  </si>
  <si>
    <t>Modeled Shares</t>
  </si>
  <si>
    <t>Subtotal (Issued and Outstanding)</t>
  </si>
  <si>
    <t>Total (Fully Diluted Shares)</t>
  </si>
  <si>
    <t>Debt Total</t>
  </si>
  <si>
    <t>Debt</t>
  </si>
  <si>
    <t>Equity</t>
  </si>
  <si>
    <t>Equity Parameters</t>
  </si>
  <si>
    <t>Series A Liquidation Proceeds</t>
  </si>
  <si>
    <t>Series A Liquidation Preference Amount</t>
  </si>
  <si>
    <t>Total Proceeds:</t>
  </si>
  <si>
    <t>check</t>
  </si>
  <si>
    <t>Avg Proceeds (per share):</t>
  </si>
  <si>
    <t>FD Ownership %</t>
  </si>
  <si>
    <t>Shares Issued and Outstanding</t>
  </si>
  <si>
    <t>Equity Proceeds:</t>
  </si>
  <si>
    <t>Common Stock &amp; Options</t>
  </si>
  <si>
    <t>Series B</t>
  </si>
  <si>
    <t>Series C</t>
  </si>
  <si>
    <t>Series B Liquidation Preference Amount</t>
  </si>
  <si>
    <t>Series B Liquidation Proceeds</t>
  </si>
  <si>
    <t>Series C Liquidation Preference Amount</t>
  </si>
  <si>
    <t>Series C Liquidation Proceeds</t>
  </si>
  <si>
    <t>Equity Proceeds (% Proceeds):</t>
  </si>
  <si>
    <t>Residual for remaining</t>
  </si>
  <si>
    <t>Breakpoint indicator:</t>
  </si>
  <si>
    <t>Breakpoint:</t>
  </si>
  <si>
    <t>Debt Repaid</t>
  </si>
  <si>
    <t>Series C Liq Pref</t>
  </si>
  <si>
    <t>Series B Liq Pref</t>
  </si>
  <si>
    <t>Series A Liq Pref</t>
  </si>
  <si>
    <t>Common Options X</t>
  </si>
  <si>
    <t>Common Options Y</t>
  </si>
  <si>
    <t>Common Options Z</t>
  </si>
  <si>
    <t>Common Options R</t>
  </si>
  <si>
    <t>Total Liquidation Preference:</t>
  </si>
  <si>
    <t>Total Common Shares:</t>
  </si>
  <si>
    <t>Price per Common Share:</t>
  </si>
  <si>
    <t>Preferred Stock</t>
  </si>
  <si>
    <t>Residual Available to Common:</t>
  </si>
  <si>
    <t>Equity Proceeds (per share):</t>
  </si>
  <si>
    <t>Total Equity Proceeds:</t>
  </si>
  <si>
    <t>Equity Proceeds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</si>
</sst>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69">
    <xf numFmtId="0" fontId="0" fillId="0" borderId="0" xfId="0"/>
    <xf numFmtId="0" fontId="0" fillId="2" borderId="0" xfId="0" applyFill="1"/>
    <xf numFmtId="0" fontId="3" fillId="2" borderId="0" xfId="4" applyFill="1"/>
    <xf numFmtId="0" fontId="0" fillId="2" borderId="0" xfId="0" applyFill="1" applyAlignment="1">
      <alignment horizontal="left"/>
    </xf>
    <xf numFmtId="0" fontId="2" fillId="0" borderId="0" xfId="0" applyFont="1"/>
    <xf numFmtId="164" fontId="0" fillId="0" borderId="0" xfId="1" applyNumberFormat="1" applyFont="1"/>
    <xf numFmtId="164" fontId="5" fillId="0" borderId="0" xfId="1" applyNumberFormat="1" applyFont="1"/>
    <xf numFmtId="164" fontId="5" fillId="0" borderId="1" xfId="1" applyNumberFormat="1" applyFont="1" applyBorder="1"/>
    <xf numFmtId="44" fontId="5" fillId="0" borderId="1" xfId="2" applyFont="1" applyBorder="1"/>
    <xf numFmtId="9" fontId="0" fillId="0" borderId="0" xfId="3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2" fillId="0" borderId="0" xfId="1" applyNumberFormat="1" applyFont="1"/>
    <xf numFmtId="0" fontId="0" fillId="0" borderId="0" xfId="0" applyFont="1" applyAlignment="1">
      <alignment horizontal="left"/>
    </xf>
    <xf numFmtId="44" fontId="0" fillId="0" borderId="0" xfId="2" applyFont="1"/>
    <xf numFmtId="165" fontId="0" fillId="0" borderId="0" xfId="2" applyNumberFormat="1" applyFont="1"/>
    <xf numFmtId="164" fontId="0" fillId="0" borderId="0" xfId="1" applyNumberFormat="1" applyFont="1" applyBorder="1"/>
    <xf numFmtId="165" fontId="0" fillId="0" borderId="0" xfId="2" applyNumberFormat="1" applyFont="1" applyBorder="1"/>
    <xf numFmtId="165" fontId="5" fillId="0" borderId="0" xfId="2" applyNumberFormat="1" applyFont="1" applyBorder="1"/>
    <xf numFmtId="2" fontId="5" fillId="0" borderId="0" xfId="0" applyNumberFormat="1" applyFont="1" applyBorder="1"/>
    <xf numFmtId="164" fontId="0" fillId="0" borderId="1" xfId="1" applyNumberFormat="1" applyFont="1" applyBorder="1"/>
    <xf numFmtId="165" fontId="0" fillId="0" borderId="1" xfId="2" applyNumberFormat="1" applyFont="1" applyBorder="1"/>
    <xf numFmtId="165" fontId="5" fillId="0" borderId="1" xfId="2" applyNumberFormat="1" applyFont="1" applyBorder="1"/>
    <xf numFmtId="2" fontId="5" fillId="0" borderId="1" xfId="0" applyNumberFormat="1" applyFont="1" applyBorder="1"/>
    <xf numFmtId="164" fontId="5" fillId="0" borderId="0" xfId="1" applyNumberFormat="1" applyFont="1" applyBorder="1"/>
    <xf numFmtId="164" fontId="2" fillId="0" borderId="0" xfId="0" applyNumberFormat="1" applyFont="1"/>
    <xf numFmtId="44" fontId="0" fillId="0" borderId="0" xfId="2" applyNumberFormat="1" applyFont="1" applyBorder="1"/>
    <xf numFmtId="44" fontId="0" fillId="0" borderId="0" xfId="2" applyFont="1" applyBorder="1"/>
    <xf numFmtId="44" fontId="0" fillId="0" borderId="1" xfId="2" applyFont="1" applyBorder="1"/>
    <xf numFmtId="164" fontId="6" fillId="0" borderId="1" xfId="1" applyNumberFormat="1" applyFont="1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5" fontId="2" fillId="0" borderId="0" xfId="2" applyNumberFormat="1" applyFont="1" applyAlignment="1">
      <alignment vertical="center"/>
    </xf>
    <xf numFmtId="165" fontId="7" fillId="0" borderId="0" xfId="2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164" fontId="6" fillId="0" borderId="0" xfId="1" applyNumberFormat="1" applyFont="1" applyBorder="1"/>
    <xf numFmtId="43" fontId="0" fillId="0" borderId="0" xfId="1" applyFont="1"/>
    <xf numFmtId="0" fontId="9" fillId="0" borderId="0" xfId="0" applyFont="1" applyFill="1" applyBorder="1" applyAlignment="1">
      <alignment horizontal="left" indent="1"/>
    </xf>
    <xf numFmtId="0" fontId="9" fillId="0" borderId="0" xfId="0" applyFont="1"/>
    <xf numFmtId="43" fontId="9" fillId="0" borderId="0" xfId="1" applyFont="1"/>
    <xf numFmtId="9" fontId="0" fillId="0" borderId="0" xfId="3" applyNumberFormat="1" applyFont="1" applyBorder="1"/>
    <xf numFmtId="9" fontId="0" fillId="0" borderId="0" xfId="3" applyNumberFormat="1" applyFont="1"/>
    <xf numFmtId="9" fontId="0" fillId="0" borderId="1" xfId="3" applyNumberFormat="1" applyFont="1" applyBorder="1"/>
    <xf numFmtId="0" fontId="0" fillId="0" borderId="0" xfId="0" applyFont="1"/>
    <xf numFmtId="165" fontId="0" fillId="0" borderId="0" xfId="0" applyNumberFormat="1" applyFont="1"/>
    <xf numFmtId="165" fontId="0" fillId="0" borderId="1" xfId="0" applyNumberFormat="1" applyFont="1" applyBorder="1"/>
    <xf numFmtId="0" fontId="0" fillId="0" borderId="1" xfId="0" applyFont="1" applyBorder="1"/>
    <xf numFmtId="0" fontId="6" fillId="2" borderId="0" xfId="0" applyFont="1" applyFill="1" applyAlignment="1">
      <alignment horizontal="left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indent="1"/>
    </xf>
    <xf numFmtId="164" fontId="0" fillId="0" borderId="0" xfId="0" applyNumberFormat="1" applyFont="1"/>
    <xf numFmtId="0" fontId="0" fillId="0" borderId="1" xfId="0" applyFont="1" applyBorder="1" applyAlignment="1">
      <alignment horizontal="left" indent="1"/>
    </xf>
    <xf numFmtId="164" fontId="0" fillId="0" borderId="1" xfId="0" applyNumberFormat="1" applyFont="1" applyBorder="1"/>
    <xf numFmtId="9" fontId="0" fillId="0" borderId="0" xfId="0" applyNumberFormat="1" applyFont="1" applyBorder="1"/>
    <xf numFmtId="9" fontId="0" fillId="0" borderId="1" xfId="0" applyNumberFormat="1" applyFont="1" applyBorder="1"/>
    <xf numFmtId="0" fontId="0" fillId="0" borderId="0" xfId="0" applyFont="1" applyFill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indent="1"/>
    </xf>
    <xf numFmtId="164" fontId="9" fillId="0" borderId="0" xfId="1" applyNumberFormat="1" applyFont="1"/>
    <xf numFmtId="9" fontId="6" fillId="0" borderId="0" xfId="3" applyFont="1"/>
    <xf numFmtId="9" fontId="6" fillId="0" borderId="1" xfId="3" applyFont="1" applyBorder="1"/>
    <xf numFmtId="0" fontId="8" fillId="0" borderId="0" xfId="0" applyFont="1"/>
    <xf numFmtId="165" fontId="8" fillId="0" borderId="0" xfId="0" applyNumberFormat="1" applyFont="1"/>
    <xf numFmtId="165" fontId="0" fillId="3" borderId="0" xfId="2" applyNumberFormat="1" applyFont="1" applyFill="1"/>
    <xf numFmtId="0" fontId="10" fillId="0" borderId="0" xfId="0" applyFont="1" applyAlignment="1">
      <alignment horizontal="right"/>
    </xf>
    <xf numFmtId="165" fontId="10" fillId="0" borderId="0" xfId="0" applyNumberFormat="1" applyFont="1" applyAlignment="1">
      <alignment horizontal="right"/>
    </xf>
    <xf numFmtId="44" fontId="5" fillId="0" borderId="0" xfId="2" applyFont="1" applyBorder="1"/>
    <xf numFmtId="0" fontId="0" fillId="0" borderId="0" xfId="0" applyFont="1" applyFill="1" applyBorder="1" applyAlignment="1">
      <alignment horizontal="left" indent="1"/>
    </xf>
    <xf numFmtId="164" fontId="0" fillId="0" borderId="2" xfId="0" applyNumberFormat="1" applyFont="1" applyBorder="1"/>
  </cellXfs>
  <cellStyles count="5">
    <cellStyle name="Comma" xfId="1" builtinId="3"/>
    <cellStyle name="Currency" xfId="2" builtinId="4"/>
    <cellStyle name="Hyperlink" xfId="4" builtinId="8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Liquidation Proceeds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9637661655929369E-2"/>
          <c:y val="0.13835515728311726"/>
          <c:w val="0.88041567167740398"/>
          <c:h val="0.69600918523888167"/>
        </c:manualLayout>
      </c:layout>
      <c:areaChart>
        <c:grouping val="stacked"/>
        <c:varyColors val="0"/>
        <c:ser>
          <c:idx val="0"/>
          <c:order val="0"/>
          <c:tx>
            <c:strRef>
              <c:f>'Top Down (B)'!$B$79</c:f>
              <c:strCache>
                <c:ptCount val="1"/>
                <c:pt idx="0">
                  <c:v>Series C</c:v>
                </c:pt>
              </c:strCache>
            </c:strRef>
          </c:tx>
          <c:spPr>
            <a:solidFill>
              <a:schemeClr val="accent1"/>
            </a:solidFill>
            <a:ln w="25400">
              <a:noFill/>
            </a:ln>
            <a:effectLst/>
          </c:spPr>
          <c:cat>
            <c:numRef>
              <c:f>'Top Down (B)'!$C$34:$L$34</c:f>
              <c:numCache>
                <c:formatCode>_("$"* #,##0_);_("$"* \(#,##0\);_("$"* "-"??_);_(@_)</c:formatCode>
                <c:ptCount val="10"/>
                <c:pt idx="0">
                  <c:v>0</c:v>
                </c:pt>
                <c:pt idx="1">
                  <c:v>20000000</c:v>
                </c:pt>
                <c:pt idx="2">
                  <c:v>80000000</c:v>
                </c:pt>
                <c:pt idx="3">
                  <c:v>95000000</c:v>
                </c:pt>
                <c:pt idx="4">
                  <c:v>100000000</c:v>
                </c:pt>
                <c:pt idx="5">
                  <c:v>128000000</c:v>
                </c:pt>
                <c:pt idx="6">
                  <c:v>180000000</c:v>
                </c:pt>
                <c:pt idx="7">
                  <c:v>236000000</c:v>
                </c:pt>
                <c:pt idx="8">
                  <c:v>344000000</c:v>
                </c:pt>
                <c:pt idx="9">
                  <c:v>500000000</c:v>
                </c:pt>
              </c:numCache>
            </c:numRef>
          </c:cat>
          <c:val>
            <c:numRef>
              <c:f>'Top Down (B)'!$C$79:$L$79</c:f>
              <c:numCache>
                <c:formatCode>_("$"* #,##0_);_("$"* \(#,##0\);_("$"* "-"??_);_(@_)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60000000</c:v>
                </c:pt>
                <c:pt idx="3">
                  <c:v>60000000</c:v>
                </c:pt>
                <c:pt idx="4">
                  <c:v>60000000</c:v>
                </c:pt>
                <c:pt idx="5">
                  <c:v>60000000</c:v>
                </c:pt>
                <c:pt idx="6">
                  <c:v>60000000</c:v>
                </c:pt>
                <c:pt idx="7">
                  <c:v>60000000</c:v>
                </c:pt>
                <c:pt idx="8">
                  <c:v>60000000</c:v>
                </c:pt>
                <c:pt idx="9">
                  <c:v>84333333.333333328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39-4EF7-9492-E9EDE1127F9F}"/>
            </c:ext>
          </c:extLst>
        </c:ser>
        <c:ser>
          <c:idx val="1"/>
          <c:order val="1"/>
          <c:tx>
            <c:strRef>
              <c:f>'Top Down (B)'!$B$80</c:f>
              <c:strCache>
                <c:ptCount val="1"/>
                <c:pt idx="0">
                  <c:v>Series B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  <a:effectLst/>
          </c:spPr>
          <c:cat>
            <c:numRef>
              <c:f>'Top Down (B)'!$C$34:$L$34</c:f>
              <c:numCache>
                <c:formatCode>_("$"* #,##0_);_("$"* \(#,##0\);_("$"* "-"??_);_(@_)</c:formatCode>
                <c:ptCount val="10"/>
                <c:pt idx="0">
                  <c:v>0</c:v>
                </c:pt>
                <c:pt idx="1">
                  <c:v>20000000</c:v>
                </c:pt>
                <c:pt idx="2">
                  <c:v>80000000</c:v>
                </c:pt>
                <c:pt idx="3">
                  <c:v>95000000</c:v>
                </c:pt>
                <c:pt idx="4">
                  <c:v>100000000</c:v>
                </c:pt>
                <c:pt idx="5">
                  <c:v>128000000</c:v>
                </c:pt>
                <c:pt idx="6">
                  <c:v>180000000</c:v>
                </c:pt>
                <c:pt idx="7">
                  <c:v>236000000</c:v>
                </c:pt>
                <c:pt idx="8">
                  <c:v>344000000</c:v>
                </c:pt>
                <c:pt idx="9">
                  <c:v>500000000</c:v>
                </c:pt>
              </c:numCache>
            </c:numRef>
          </c:cat>
          <c:val>
            <c:numRef>
              <c:f>'Top Down (B)'!$C$80:$L$80</c:f>
              <c:numCache>
                <c:formatCode>_("$"* #,##0_);_("$"* \(#,##0\);_("$"* "-"??_);_(@_)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15000000</c:v>
                </c:pt>
                <c:pt idx="4">
                  <c:v>15000000</c:v>
                </c:pt>
                <c:pt idx="5">
                  <c:v>15000000</c:v>
                </c:pt>
                <c:pt idx="6">
                  <c:v>18928571.428571429</c:v>
                </c:pt>
                <c:pt idx="7">
                  <c:v>28928571.428571429</c:v>
                </c:pt>
                <c:pt idx="8">
                  <c:v>48214285.714285709</c:v>
                </c:pt>
                <c:pt idx="9">
                  <c:v>70277777.777777776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39-4EF7-9492-E9EDE1127F9F}"/>
            </c:ext>
          </c:extLst>
        </c:ser>
        <c:ser>
          <c:idx val="2"/>
          <c:order val="2"/>
          <c:tx>
            <c:strRef>
              <c:f>'Top Down (B)'!$B$81</c:f>
              <c:strCache>
                <c:ptCount val="1"/>
                <c:pt idx="0">
                  <c:v>Series A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  <a:effectLst/>
          </c:spPr>
          <c:cat>
            <c:numRef>
              <c:f>'Top Down (B)'!$C$34:$L$34</c:f>
              <c:numCache>
                <c:formatCode>_("$"* #,##0_);_("$"* \(#,##0\);_("$"* "-"??_);_(@_)</c:formatCode>
                <c:ptCount val="10"/>
                <c:pt idx="0">
                  <c:v>0</c:v>
                </c:pt>
                <c:pt idx="1">
                  <c:v>20000000</c:v>
                </c:pt>
                <c:pt idx="2">
                  <c:v>80000000</c:v>
                </c:pt>
                <c:pt idx="3">
                  <c:v>95000000</c:v>
                </c:pt>
                <c:pt idx="4">
                  <c:v>100000000</c:v>
                </c:pt>
                <c:pt idx="5">
                  <c:v>128000000</c:v>
                </c:pt>
                <c:pt idx="6">
                  <c:v>180000000</c:v>
                </c:pt>
                <c:pt idx="7">
                  <c:v>236000000</c:v>
                </c:pt>
                <c:pt idx="8">
                  <c:v>344000000</c:v>
                </c:pt>
                <c:pt idx="9">
                  <c:v>500000000</c:v>
                </c:pt>
              </c:numCache>
            </c:numRef>
          </c:cat>
          <c:val>
            <c:numRef>
              <c:f>'Top Down (B)'!$C$81:$L$81</c:f>
              <c:numCache>
                <c:formatCode>_("$"* #,##0_);_("$"* \(#,##0\);_("$"* "-"??_);_(@_)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5000000</c:v>
                </c:pt>
                <c:pt idx="5">
                  <c:v>8095238.0952380951</c:v>
                </c:pt>
                <c:pt idx="6">
                  <c:v>18928571.428571429</c:v>
                </c:pt>
                <c:pt idx="7">
                  <c:v>28928571.428571429</c:v>
                </c:pt>
                <c:pt idx="8">
                  <c:v>48214285.714285709</c:v>
                </c:pt>
                <c:pt idx="9">
                  <c:v>70277777.777777776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39-4EF7-9492-E9EDE1127F9F}"/>
            </c:ext>
          </c:extLst>
        </c:ser>
        <c:ser>
          <c:idx val="3"/>
          <c:order val="3"/>
          <c:tx>
            <c:strRef>
              <c:f>'Top Down (B)'!$B$82</c:f>
              <c:strCache>
                <c:ptCount val="1"/>
                <c:pt idx="0">
                  <c:v>Common</c:v>
                </c:pt>
              </c:strCache>
            </c:strRef>
          </c:tx>
          <c:spPr>
            <a:solidFill>
              <a:schemeClr val="accent4"/>
            </a:solidFill>
            <a:ln w="25400">
              <a:noFill/>
            </a:ln>
            <a:effectLst/>
          </c:spPr>
          <c:cat>
            <c:numRef>
              <c:f>'Top Down (B)'!$C$34:$L$34</c:f>
              <c:numCache>
                <c:formatCode>_("$"* #,##0_);_("$"* \(#,##0\);_("$"* "-"??_);_(@_)</c:formatCode>
                <c:ptCount val="10"/>
                <c:pt idx="0">
                  <c:v>0</c:v>
                </c:pt>
                <c:pt idx="1">
                  <c:v>20000000</c:v>
                </c:pt>
                <c:pt idx="2">
                  <c:v>80000000</c:v>
                </c:pt>
                <c:pt idx="3">
                  <c:v>95000000</c:v>
                </c:pt>
                <c:pt idx="4">
                  <c:v>100000000</c:v>
                </c:pt>
                <c:pt idx="5">
                  <c:v>128000000</c:v>
                </c:pt>
                <c:pt idx="6">
                  <c:v>180000000</c:v>
                </c:pt>
                <c:pt idx="7">
                  <c:v>236000000</c:v>
                </c:pt>
                <c:pt idx="8">
                  <c:v>344000000</c:v>
                </c:pt>
                <c:pt idx="9">
                  <c:v>500000000</c:v>
                </c:pt>
              </c:numCache>
            </c:numRef>
          </c:cat>
          <c:val>
            <c:numRef>
              <c:f>'Top Down (B)'!$C$82:$L$82</c:f>
              <c:numCache>
                <c:formatCode>_("$"* #,##0_);_("$"* \(#,##0\);_("$"* "-"??_);_(@_)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24285714.285714287</c:v>
                </c:pt>
                <c:pt idx="6">
                  <c:v>56785714.285714284</c:v>
                </c:pt>
                <c:pt idx="7">
                  <c:v>86785714.285714284</c:v>
                </c:pt>
                <c:pt idx="8">
                  <c:v>144642857.14285713</c:v>
                </c:pt>
                <c:pt idx="9">
                  <c:v>210833333.33333334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E7D-4740-B96C-E1D32D1A4F67}"/>
            </c:ext>
          </c:extLst>
        </c:ser>
        <c:ser>
          <c:idx val="4"/>
          <c:order val="4"/>
          <c:tx>
            <c:strRef>
              <c:f>'Top Down (B)'!$B$83</c:f>
              <c:strCache>
                <c:ptCount val="1"/>
                <c:pt idx="0">
                  <c:v>Common Options Z</c:v>
                </c:pt>
              </c:strCache>
            </c:strRef>
          </c:tx>
          <c:spPr>
            <a:solidFill>
              <a:schemeClr val="accent5"/>
            </a:solidFill>
            <a:ln w="25400">
              <a:noFill/>
            </a:ln>
            <a:effectLst/>
          </c:spPr>
          <c:cat>
            <c:numRef>
              <c:f>'Top Down (B)'!$C$34:$L$34</c:f>
              <c:numCache>
                <c:formatCode>_("$"* #,##0_);_("$"* \(#,##0\);_("$"* "-"??_);_(@_)</c:formatCode>
                <c:ptCount val="10"/>
                <c:pt idx="0">
                  <c:v>0</c:v>
                </c:pt>
                <c:pt idx="1">
                  <c:v>20000000</c:v>
                </c:pt>
                <c:pt idx="2">
                  <c:v>80000000</c:v>
                </c:pt>
                <c:pt idx="3">
                  <c:v>95000000</c:v>
                </c:pt>
                <c:pt idx="4">
                  <c:v>100000000</c:v>
                </c:pt>
                <c:pt idx="5">
                  <c:v>128000000</c:v>
                </c:pt>
                <c:pt idx="6">
                  <c:v>180000000</c:v>
                </c:pt>
                <c:pt idx="7">
                  <c:v>236000000</c:v>
                </c:pt>
                <c:pt idx="8">
                  <c:v>344000000</c:v>
                </c:pt>
                <c:pt idx="9">
                  <c:v>500000000</c:v>
                </c:pt>
              </c:numCache>
            </c:numRef>
          </c:cat>
          <c:val>
            <c:numRef>
              <c:f>'Top Down (B)'!$C$83:$L$83</c:f>
              <c:numCache>
                <c:formatCode>_("$"* #,##0_);_("$"* \(#,##0\);_("$"* "-"??_);_(@_)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619047.61904761905</c:v>
                </c:pt>
                <c:pt idx="6">
                  <c:v>2785714.2857142854</c:v>
                </c:pt>
                <c:pt idx="7">
                  <c:v>4785714.2857142854</c:v>
                </c:pt>
                <c:pt idx="8">
                  <c:v>8642857.1428571418</c:v>
                </c:pt>
                <c:pt idx="9">
                  <c:v>13055555.555555556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D9E-4A49-8C9F-3986C1CB8813}"/>
            </c:ext>
          </c:extLst>
        </c:ser>
        <c:ser>
          <c:idx val="5"/>
          <c:order val="5"/>
          <c:tx>
            <c:strRef>
              <c:f>'Top Down (B)'!$B$84</c:f>
              <c:strCache>
                <c:ptCount val="1"/>
                <c:pt idx="0">
                  <c:v>Common Options Y</c:v>
                </c:pt>
              </c:strCache>
            </c:strRef>
          </c:tx>
          <c:spPr>
            <a:solidFill>
              <a:schemeClr val="accent6"/>
            </a:solidFill>
            <a:ln w="25400">
              <a:noFill/>
            </a:ln>
            <a:effectLst/>
          </c:spPr>
          <c:cat>
            <c:numRef>
              <c:f>'Top Down (B)'!$C$34:$L$34</c:f>
              <c:numCache>
                <c:formatCode>_("$"* #,##0_);_("$"* \(#,##0\);_("$"* "-"??_);_(@_)</c:formatCode>
                <c:ptCount val="10"/>
                <c:pt idx="0">
                  <c:v>0</c:v>
                </c:pt>
                <c:pt idx="1">
                  <c:v>20000000</c:v>
                </c:pt>
                <c:pt idx="2">
                  <c:v>80000000</c:v>
                </c:pt>
                <c:pt idx="3">
                  <c:v>95000000</c:v>
                </c:pt>
                <c:pt idx="4">
                  <c:v>100000000</c:v>
                </c:pt>
                <c:pt idx="5">
                  <c:v>128000000</c:v>
                </c:pt>
                <c:pt idx="6">
                  <c:v>180000000</c:v>
                </c:pt>
                <c:pt idx="7">
                  <c:v>236000000</c:v>
                </c:pt>
                <c:pt idx="8">
                  <c:v>344000000</c:v>
                </c:pt>
                <c:pt idx="9">
                  <c:v>500000000</c:v>
                </c:pt>
              </c:numCache>
            </c:numRef>
          </c:cat>
          <c:val>
            <c:numRef>
              <c:f>'Top Down (B)'!$C$84:$L$84</c:f>
              <c:numCache>
                <c:formatCode>_("$"* #,##0_);_("$"* \(#,##0\);_("$"* "-"??_);_(@_)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1785714.2857142857</c:v>
                </c:pt>
                <c:pt idx="7">
                  <c:v>3785714.2857142854</c:v>
                </c:pt>
                <c:pt idx="8">
                  <c:v>7642857.1428571427</c:v>
                </c:pt>
                <c:pt idx="9">
                  <c:v>12055555.555555556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D9E-4A49-8C9F-3986C1CB8813}"/>
            </c:ext>
          </c:extLst>
        </c:ser>
        <c:ser>
          <c:idx val="6"/>
          <c:order val="6"/>
          <c:tx>
            <c:strRef>
              <c:f>'Top Down (B)'!$B$85</c:f>
              <c:strCache>
                <c:ptCount val="1"/>
                <c:pt idx="0">
                  <c:v>Common Options X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 w="25400">
              <a:noFill/>
            </a:ln>
            <a:effectLst/>
          </c:spPr>
          <c:cat>
            <c:numRef>
              <c:f>'Top Down (B)'!$C$34:$L$34</c:f>
              <c:numCache>
                <c:formatCode>_("$"* #,##0_);_("$"* \(#,##0\);_("$"* "-"??_);_(@_)</c:formatCode>
                <c:ptCount val="10"/>
                <c:pt idx="0">
                  <c:v>0</c:v>
                </c:pt>
                <c:pt idx="1">
                  <c:v>20000000</c:v>
                </c:pt>
                <c:pt idx="2">
                  <c:v>80000000</c:v>
                </c:pt>
                <c:pt idx="3">
                  <c:v>95000000</c:v>
                </c:pt>
                <c:pt idx="4">
                  <c:v>100000000</c:v>
                </c:pt>
                <c:pt idx="5">
                  <c:v>128000000</c:v>
                </c:pt>
                <c:pt idx="6">
                  <c:v>180000000</c:v>
                </c:pt>
                <c:pt idx="7">
                  <c:v>236000000</c:v>
                </c:pt>
                <c:pt idx="8">
                  <c:v>344000000</c:v>
                </c:pt>
                <c:pt idx="9">
                  <c:v>500000000</c:v>
                </c:pt>
              </c:numCache>
            </c:numRef>
          </c:cat>
          <c:val>
            <c:numRef>
              <c:f>'Top Down (B)'!$C$85:$L$85</c:f>
              <c:numCache>
                <c:formatCode>_("$"* #,##0_);_("$"* \(#,##0\);_("$"* "-"??_);_(@_)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785714.28571428556</c:v>
                </c:pt>
                <c:pt idx="7">
                  <c:v>2785714.2857142854</c:v>
                </c:pt>
                <c:pt idx="8">
                  <c:v>6642857.1428571427</c:v>
                </c:pt>
                <c:pt idx="9">
                  <c:v>11055555.555555556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D9E-4A49-8C9F-3986C1CB8813}"/>
            </c:ext>
          </c:extLst>
        </c:ser>
        <c:ser>
          <c:idx val="7"/>
          <c:order val="7"/>
          <c:tx>
            <c:strRef>
              <c:f>'Top Down (B)'!$B$86</c:f>
              <c:strCache>
                <c:ptCount val="1"/>
                <c:pt idx="0">
                  <c:v>Common Options R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 w="25400">
              <a:noFill/>
            </a:ln>
            <a:effectLst/>
          </c:spPr>
          <c:cat>
            <c:numRef>
              <c:f>'Top Down (B)'!$C$34:$L$34</c:f>
              <c:numCache>
                <c:formatCode>_("$"* #,##0_);_("$"* \(#,##0\);_("$"* "-"??_);_(@_)</c:formatCode>
                <c:ptCount val="10"/>
                <c:pt idx="0">
                  <c:v>0</c:v>
                </c:pt>
                <c:pt idx="1">
                  <c:v>20000000</c:v>
                </c:pt>
                <c:pt idx="2">
                  <c:v>80000000</c:v>
                </c:pt>
                <c:pt idx="3">
                  <c:v>95000000</c:v>
                </c:pt>
                <c:pt idx="4">
                  <c:v>100000000</c:v>
                </c:pt>
                <c:pt idx="5">
                  <c:v>128000000</c:v>
                </c:pt>
                <c:pt idx="6">
                  <c:v>180000000</c:v>
                </c:pt>
                <c:pt idx="7">
                  <c:v>236000000</c:v>
                </c:pt>
                <c:pt idx="8">
                  <c:v>344000000</c:v>
                </c:pt>
                <c:pt idx="9">
                  <c:v>500000000</c:v>
                </c:pt>
              </c:numCache>
            </c:numRef>
          </c:cat>
          <c:val>
            <c:numRef>
              <c:f>'Top Down (B)'!$C$86:$L$86</c:f>
              <c:numCache>
                <c:formatCode>_("$"* #,##0_);_("$"* \(#,##0\);_("$"* "-"??_);_(@_)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8111111.111111111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D9E-4A49-8C9F-3986C1CB88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1908688"/>
        <c:axId val="801915760"/>
      </c:areaChart>
      <c:catAx>
        <c:axId val="8019086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Sale Price</a:t>
                </a:r>
              </a:p>
            </c:rich>
          </c:tx>
          <c:layout>
            <c:manualLayout>
              <c:xMode val="edge"/>
              <c:yMode val="edge"/>
              <c:x val="0.48724472693925314"/>
              <c:y val="0.9134392862817963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(&quot;$&quot;* #,##0_);_(&quot;$&quot;* \(#,##0\);_(&quot;$&quot;* &quot;-&quot;??_);_(@_)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1915760"/>
        <c:crosses val="autoZero"/>
        <c:auto val="1"/>
        <c:lblAlgn val="ctr"/>
        <c:lblOffset val="100"/>
        <c:noMultiLvlLbl val="0"/>
      </c:catAx>
      <c:valAx>
        <c:axId val="801915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Equity Proceeds</a:t>
                </a:r>
              </a:p>
            </c:rich>
          </c:tx>
          <c:layout>
            <c:manualLayout>
              <c:xMode val="edge"/>
              <c:yMode val="edge"/>
              <c:x val="1.2048192771084338E-2"/>
              <c:y val="0.306775876000449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_(&quot;$&quot;* #,##0_);_(&quot;$&quot;* \(#,##0\);_(&quot;$&quot;* &quot;-&quot;_);_(@_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19086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2470119780481985"/>
          <c:y val="0.1622941389482383"/>
          <c:w val="0.10712311142925317"/>
          <c:h val="0.48824742056501458"/>
        </c:manualLayout>
      </c:layout>
      <c:overlay val="1"/>
      <c:spPr>
        <a:solidFill>
          <a:schemeClr val="bg1"/>
        </a:solidFill>
        <a:ln w="6350"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https://www.flux.llc/" TargetMode="External"/><Relationship Id="rId1" Type="http://schemas.openxmlformats.org/officeDocument/2006/relationships/hyperlink" Target="https://www.flux.llc/terms-of-use/" TargetMode="External"/><Relationship Id="rId4" Type="http://schemas.openxmlformats.org/officeDocument/2006/relationships/hyperlink" Target="https://www.flux.llc/company/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14288</xdr:colOff>
      <xdr:row>15</xdr:row>
      <xdr:rowOff>14287</xdr:rowOff>
    </xdr:from>
    <xdr:to>
      <xdr:col>13</xdr:col>
      <xdr:colOff>0</xdr:colOff>
      <xdr:row>23</xdr:row>
      <xdr:rowOff>157163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B880AEE-81A4-4D49-9E39-D45A528681B1}"/>
            </a:ext>
          </a:extLst>
        </xdr:cNvPr>
        <xdr:cNvSpPr txBox="1"/>
      </xdr:nvSpPr>
      <xdr:spPr>
        <a:xfrm>
          <a:off x="209550" y="2733674"/>
          <a:ext cx="7753350" cy="1590676"/>
        </a:xfrm>
        <a:prstGeom prst="rect">
          <a:avLst/>
        </a:prstGeom>
        <a:solidFill>
          <a:schemeClr val="lt1"/>
        </a:solidFill>
        <a:ln w="9525" cmpd="sng">
          <a:solidFill>
            <a:schemeClr val="bg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2880" tIns="91440" rIns="182880" bIns="91440" rtlCol="0" anchor="t"/>
        <a:lstStyle/>
        <a:p>
          <a:pPr rtl="0"/>
          <a:r>
            <a:rPr lang="en-US" sz="1100" b="0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Disclaimer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These materials and the information provided herein are (i) for informational and discussion purposes only and are not intended to be, and shall not be regarded or construed as, a recommendation for a transaction or investment or financial, tax, legal, or other advice of any kind, and (ii) subject to various disclaimers and limitations that are set forth in our </a:t>
          </a:r>
          <a:r>
            <a:rPr lang="en-US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Terms of Use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By accessing these materials and the information provided herein, you agree to our </a:t>
          </a:r>
          <a:r>
            <a:rPr lang="en-US" sz="1100" b="0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Terms of Use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including, without limitation, all of the disclaimers and limitations set forth therein.</a:t>
          </a:r>
        </a:p>
        <a:p>
          <a:pPr rtl="0"/>
          <a:endParaRPr lang="en-US" b="0">
            <a:effectLst/>
          </a:endParaRPr>
        </a:p>
      </xdr:txBody>
    </xdr:sp>
    <xdr:clientData/>
  </xdr:twoCellAnchor>
  <xdr:twoCellAnchor>
    <xdr:from>
      <xdr:col>10</xdr:col>
      <xdr:colOff>495300</xdr:colOff>
      <xdr:row>21</xdr:row>
      <xdr:rowOff>104775</xdr:rowOff>
    </xdr:from>
    <xdr:to>
      <xdr:col>12</xdr:col>
      <xdr:colOff>561975</xdr:colOff>
      <xdr:row>23</xdr:row>
      <xdr:rowOff>71439</xdr:rowOff>
    </xdr:to>
    <xdr:sp macro="" textlink="">
      <xdr:nvSpPr>
        <xdr:cNvPr id="3" name="Rectangle: Rounded Corner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8B66B0A-7AAA-42C6-BF96-1B9751106A6B}"/>
            </a:ext>
          </a:extLst>
        </xdr:cNvPr>
        <xdr:cNvSpPr/>
      </xdr:nvSpPr>
      <xdr:spPr>
        <a:xfrm>
          <a:off x="6515100" y="3905250"/>
          <a:ext cx="1362075" cy="333376"/>
        </a:xfrm>
        <a:prstGeom prst="roundRect">
          <a:avLst/>
        </a:prstGeom>
        <a:solidFill>
          <a:srgbClr val="0999B4">
            <a:alpha val="80000"/>
          </a:srgbClr>
        </a:solidFill>
        <a:ln w="28575">
          <a:solidFill>
            <a:srgbClr val="0999B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0"/>
            <a:t>Terms of Use</a:t>
          </a:r>
        </a:p>
      </xdr:txBody>
    </xdr:sp>
    <xdr:clientData/>
  </xdr:twoCellAnchor>
  <xdr:twoCellAnchor editAs="oneCell">
    <xdr:from>
      <xdr:col>1</xdr:col>
      <xdr:colOff>142875</xdr:colOff>
      <xdr:row>0</xdr:row>
      <xdr:rowOff>138114</xdr:rowOff>
    </xdr:from>
    <xdr:to>
      <xdr:col>5</xdr:col>
      <xdr:colOff>436151</xdr:colOff>
      <xdr:row>6</xdr:row>
      <xdr:rowOff>104776</xdr:rowOff>
    </xdr:to>
    <xdr:pic>
      <xdr:nvPicPr>
        <xdr:cNvPr id="4" name="Pictur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A6AE71A-13D3-450F-8FB3-92C96B59AB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142876"/>
          <a:ext cx="2884076" cy="1047750"/>
        </a:xfrm>
        <a:prstGeom prst="rect">
          <a:avLst/>
        </a:prstGeom>
      </xdr:spPr>
    </xdr:pic>
    <xdr:clientData/>
  </xdr:twoCellAnchor>
  <xdr:twoCellAnchor>
    <xdr:from>
      <xdr:col>1</xdr:col>
      <xdr:colOff>28575</xdr:colOff>
      <xdr:row>7</xdr:row>
      <xdr:rowOff>71438</xdr:rowOff>
    </xdr:from>
    <xdr:to>
      <xdr:col>13</xdr:col>
      <xdr:colOff>0</xdr:colOff>
      <xdr:row>7</xdr:row>
      <xdr:rowOff>71438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A6D3C3B5-AA13-430E-B57B-F7A197E6DEFD}"/>
            </a:ext>
          </a:extLst>
        </xdr:cNvPr>
        <xdr:cNvCxnSpPr/>
      </xdr:nvCxnSpPr>
      <xdr:spPr>
        <a:xfrm>
          <a:off x="219075" y="1343025"/>
          <a:ext cx="7743825" cy="0"/>
        </a:xfrm>
        <a:prstGeom prst="line">
          <a:avLst/>
        </a:prstGeom>
        <a:ln w="9525"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123826</xdr:colOff>
      <xdr:row>9</xdr:row>
      <xdr:rowOff>19049</xdr:rowOff>
    </xdr:from>
    <xdr:to>
      <xdr:col>12</xdr:col>
      <xdr:colOff>566738</xdr:colOff>
      <xdr:row>10</xdr:row>
      <xdr:rowOff>166688</xdr:rowOff>
    </xdr:to>
    <xdr:sp macro="" textlink="">
      <xdr:nvSpPr>
        <xdr:cNvPr id="6" name="Rectangle: Rounded Corner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7F9211D-BB0D-4490-B50D-50703B245FBA}"/>
            </a:ext>
          </a:extLst>
        </xdr:cNvPr>
        <xdr:cNvSpPr/>
      </xdr:nvSpPr>
      <xdr:spPr>
        <a:xfrm>
          <a:off x="6791326" y="1647824"/>
          <a:ext cx="1095374" cy="333376"/>
        </a:xfrm>
        <a:prstGeom prst="roundRect">
          <a:avLst/>
        </a:prstGeom>
        <a:solidFill>
          <a:srgbClr val="0999B4">
            <a:alpha val="80000"/>
          </a:srgbClr>
        </a:solidFill>
        <a:ln w="28575">
          <a:solidFill>
            <a:srgbClr val="0999B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0"/>
            <a:t>Contact Us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115</xdr:row>
      <xdr:rowOff>9522</xdr:rowOff>
    </xdr:from>
    <xdr:to>
      <xdr:col>12</xdr:col>
      <xdr:colOff>0</xdr:colOff>
      <xdr:row>139</xdr:row>
      <xdr:rowOff>11905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98E39DD-5A14-41A8-AEE1-15668D578C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9B6F5-E056-413E-9453-89349B396FAC}">
  <dimension ref="B6:M11"/>
  <sheetViews>
    <sheetView tabSelected="1" workbookViewId="0"/>
  </sheetViews>
  <sheetFormatPr defaultRowHeight="14.25" x14ac:dyDescent="0.45"/>
  <cols>
    <col min="1" max="1" width="2.6640625" style="1" customWidth="1"/>
    <col min="2" max="12" width="9.06640625" style="1"/>
    <col min="13" max="13" width="9.06640625" style="1" customWidth="1"/>
    <col min="14" max="16384" width="9.06640625" style="1"/>
  </cols>
  <sheetData>
    <row r="6" spans="2:13" x14ac:dyDescent="0.45">
      <c r="M6" s="2"/>
    </row>
    <row r="10" spans="2:13" x14ac:dyDescent="0.45">
      <c r="B10" s="1" t="s">
        <v>0</v>
      </c>
      <c r="C10" s="47" t="str" cm="1">
        <f t="array" aca="1" ref="C10" ca="1">MID(CELL("filename",A1),FIND("[",CELL("filename",A1))+1,FIND("]", CELL("filename",A1))-FIND("[",CELL("filename",A1))-1)</f>
        <v>Liq_Model_PartB_v2.xlsx</v>
      </c>
    </row>
    <row r="11" spans="2:13" x14ac:dyDescent="0.45">
      <c r="B11" s="1" t="s">
        <v>1</v>
      </c>
      <c r="C11" s="3">
        <v>2</v>
      </c>
    </row>
  </sheetData>
  <sheetProtection algorithmName="SHA-512" hashValue="9IGoLIfiahiXM17tuEfFmq7jBtJcN+Tczm+qbjqUZKXwiW+ULWzywjkWPPu93AhShlShPlOOPrL6mCuj7bon1Q==" saltValue="yLupSFUFSlTx5Jji2DEqeg==" spinCount="100000" sheet="1" objects="1" scenarios="1"/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0AEDA-7AC9-411A-A99D-69A9D130B01A}">
  <dimension ref="A1:N113"/>
  <sheetViews>
    <sheetView showGridLines="0" zoomScale="80" zoomScaleNormal="80" workbookViewId="0"/>
  </sheetViews>
  <sheetFormatPr defaultRowHeight="14.25" x14ac:dyDescent="0.45"/>
  <cols>
    <col min="1" max="1" width="2.6640625" style="43" customWidth="1"/>
    <col min="2" max="2" width="29.19921875" style="43" customWidth="1"/>
    <col min="3" max="7" width="18.19921875" style="43" customWidth="1"/>
    <col min="8" max="13" width="18.33203125" style="43" customWidth="1"/>
    <col min="14" max="14" width="11.3984375" style="43" bestFit="1" customWidth="1"/>
    <col min="15" max="16384" width="9.06640625" style="43"/>
  </cols>
  <sheetData>
    <row r="1" spans="1:6" s="48" customFormat="1" ht="33" customHeight="1" x14ac:dyDescent="0.45">
      <c r="A1" s="30" t="s">
        <v>11</v>
      </c>
    </row>
    <row r="2" spans="1:6" s="48" customFormat="1" ht="13.9" customHeight="1" x14ac:dyDescent="0.45">
      <c r="A2" s="30"/>
    </row>
    <row r="3" spans="1:6" ht="19.149999999999999" customHeight="1" x14ac:dyDescent="0.45">
      <c r="B3" s="10" t="s">
        <v>2</v>
      </c>
      <c r="C3" s="11" t="s">
        <v>22</v>
      </c>
      <c r="D3" s="11" t="s">
        <v>9</v>
      </c>
      <c r="E3" s="11" t="s">
        <v>7</v>
      </c>
      <c r="F3" s="11" t="s">
        <v>34</v>
      </c>
    </row>
    <row r="4" spans="1:6" x14ac:dyDescent="0.45">
      <c r="B4" s="57" t="s">
        <v>4</v>
      </c>
      <c r="C4" s="6">
        <v>0</v>
      </c>
      <c r="D4" s="6">
        <v>0</v>
      </c>
      <c r="E4" s="50">
        <f>C4-D4</f>
        <v>0</v>
      </c>
      <c r="F4" s="41">
        <f t="shared" ref="F4:F11" si="0">D4/$D$14</f>
        <v>0</v>
      </c>
    </row>
    <row r="5" spans="1:6" x14ac:dyDescent="0.45">
      <c r="B5" s="49" t="s">
        <v>39</v>
      </c>
      <c r="C5" s="6">
        <v>3000000</v>
      </c>
      <c r="D5" s="6">
        <v>3000000</v>
      </c>
      <c r="E5" s="50">
        <f t="shared" ref="E5:E6" si="1">C5-D5</f>
        <v>0</v>
      </c>
      <c r="F5" s="41">
        <f t="shared" si="0"/>
        <v>0.16666666666666666</v>
      </c>
    </row>
    <row r="6" spans="1:6" x14ac:dyDescent="0.45">
      <c r="B6" s="49" t="s">
        <v>38</v>
      </c>
      <c r="C6" s="6">
        <v>2500000</v>
      </c>
      <c r="D6" s="6">
        <v>2500000</v>
      </c>
      <c r="E6" s="50">
        <f t="shared" si="1"/>
        <v>0</v>
      </c>
      <c r="F6" s="41">
        <f t="shared" si="0"/>
        <v>0.1388888888888889</v>
      </c>
    </row>
    <row r="7" spans="1:6" x14ac:dyDescent="0.45">
      <c r="B7" s="49" t="s">
        <v>5</v>
      </c>
      <c r="C7" s="6">
        <v>2500000</v>
      </c>
      <c r="D7" s="6">
        <v>2500000</v>
      </c>
      <c r="E7" s="50">
        <f t="shared" ref="E7:E14" si="2">C7-D7</f>
        <v>0</v>
      </c>
      <c r="F7" s="41">
        <f t="shared" si="0"/>
        <v>0.1388888888888889</v>
      </c>
    </row>
    <row r="8" spans="1:6" x14ac:dyDescent="0.45">
      <c r="B8" s="49" t="s">
        <v>6</v>
      </c>
      <c r="C8" s="6">
        <v>7500000</v>
      </c>
      <c r="D8" s="6">
        <v>7500000</v>
      </c>
      <c r="E8" s="50">
        <f t="shared" si="2"/>
        <v>0</v>
      </c>
      <c r="F8" s="41">
        <f t="shared" si="0"/>
        <v>0.41666666666666669</v>
      </c>
    </row>
    <row r="9" spans="1:6" x14ac:dyDescent="0.45">
      <c r="B9" s="49" t="s">
        <v>54</v>
      </c>
      <c r="C9" s="6">
        <v>500000</v>
      </c>
      <c r="D9" s="6">
        <v>500000</v>
      </c>
      <c r="E9" s="50">
        <f t="shared" ref="E9:E10" si="3">C9-D9</f>
        <v>0</v>
      </c>
      <c r="F9" s="41">
        <f t="shared" si="0"/>
        <v>2.7777777777777776E-2</v>
      </c>
    </row>
    <row r="10" spans="1:6" x14ac:dyDescent="0.45">
      <c r="B10" s="49" t="s">
        <v>53</v>
      </c>
      <c r="C10" s="6">
        <v>500000</v>
      </c>
      <c r="D10" s="6">
        <v>500000</v>
      </c>
      <c r="E10" s="50">
        <f t="shared" si="3"/>
        <v>0</v>
      </c>
      <c r="F10" s="41">
        <f t="shared" si="0"/>
        <v>2.7777777777777776E-2</v>
      </c>
    </row>
    <row r="11" spans="1:6" x14ac:dyDescent="0.45">
      <c r="B11" s="51" t="s">
        <v>52</v>
      </c>
      <c r="C11" s="7">
        <v>500000</v>
      </c>
      <c r="D11" s="7">
        <v>500000</v>
      </c>
      <c r="E11" s="52">
        <f t="shared" si="2"/>
        <v>0</v>
      </c>
      <c r="F11" s="42">
        <f t="shared" si="0"/>
        <v>2.7777777777777776E-2</v>
      </c>
    </row>
    <row r="12" spans="1:6" x14ac:dyDescent="0.45">
      <c r="B12" s="4" t="s">
        <v>23</v>
      </c>
      <c r="C12" s="12">
        <f>SUM(C4:C11)</f>
        <v>17000000</v>
      </c>
      <c r="D12" s="12">
        <f>SUM(D4:D11)</f>
        <v>17000000</v>
      </c>
      <c r="E12" s="50">
        <f>SUM(E4:E11)</f>
        <v>0</v>
      </c>
      <c r="F12" s="41">
        <f>SUM(F4:F11)</f>
        <v>0.94444444444444453</v>
      </c>
    </row>
    <row r="13" spans="1:6" x14ac:dyDescent="0.45">
      <c r="B13" s="51" t="s">
        <v>17</v>
      </c>
      <c r="C13" s="7">
        <v>1000000</v>
      </c>
      <c r="D13" s="7">
        <v>1000000</v>
      </c>
      <c r="E13" s="52">
        <f t="shared" si="2"/>
        <v>0</v>
      </c>
      <c r="F13" s="42">
        <f>D13/$D$14</f>
        <v>5.5555555555555552E-2</v>
      </c>
    </row>
    <row r="14" spans="1:6" x14ac:dyDescent="0.45">
      <c r="B14" s="4" t="s">
        <v>24</v>
      </c>
      <c r="C14" s="5">
        <f>C12+C13</f>
        <v>18000000</v>
      </c>
      <c r="D14" s="5">
        <f>D12+D13</f>
        <v>18000000</v>
      </c>
      <c r="E14" s="50">
        <f t="shared" si="2"/>
        <v>0</v>
      </c>
      <c r="F14" s="41">
        <f>+F12+F13</f>
        <v>1</v>
      </c>
    </row>
    <row r="17" spans="1:12" s="48" customFormat="1" ht="33" customHeight="1" x14ac:dyDescent="0.45">
      <c r="A17" s="30" t="s">
        <v>28</v>
      </c>
      <c r="K17" s="43"/>
      <c r="L17" s="43"/>
    </row>
    <row r="19" spans="1:12" ht="33" customHeight="1" x14ac:dyDescent="0.45">
      <c r="B19" s="10" t="s">
        <v>27</v>
      </c>
      <c r="C19" s="56" t="s">
        <v>35</v>
      </c>
      <c r="D19" s="56" t="s">
        <v>8</v>
      </c>
      <c r="E19" s="56" t="s">
        <v>12</v>
      </c>
      <c r="F19" s="56" t="s">
        <v>13</v>
      </c>
      <c r="G19" s="56" t="s">
        <v>14</v>
      </c>
      <c r="H19" s="56" t="s">
        <v>21</v>
      </c>
      <c r="I19" s="56" t="s">
        <v>15</v>
      </c>
      <c r="J19" s="56" t="s">
        <v>16</v>
      </c>
    </row>
    <row r="20" spans="1:12" x14ac:dyDescent="0.45">
      <c r="B20" s="57" t="s">
        <v>4</v>
      </c>
      <c r="C20" s="16">
        <f>C4</f>
        <v>0</v>
      </c>
      <c r="D20" s="40">
        <f>C20/$C$29</f>
        <v>0</v>
      </c>
      <c r="E20" s="17"/>
      <c r="F20" s="18"/>
      <c r="G20" s="19"/>
      <c r="H20" s="17"/>
      <c r="I20" s="27"/>
      <c r="J20" s="27"/>
    </row>
    <row r="21" spans="1:12" x14ac:dyDescent="0.45">
      <c r="B21" s="49" t="s">
        <v>39</v>
      </c>
      <c r="C21" s="16">
        <f>C5</f>
        <v>3000000</v>
      </c>
      <c r="D21" s="53">
        <f>C21/$C$29</f>
        <v>0.16666666666666666</v>
      </c>
      <c r="E21" s="26">
        <f>IFERROR(F21/C21,0)</f>
        <v>20</v>
      </c>
      <c r="F21" s="18">
        <v>60000000</v>
      </c>
      <c r="G21" s="19">
        <v>1</v>
      </c>
      <c r="H21" s="17">
        <f t="shared" ref="H21:H22" si="4">C21*E21*G21</f>
        <v>60000000</v>
      </c>
      <c r="I21" s="27"/>
      <c r="J21" s="27">
        <f>+H21/C21</f>
        <v>20</v>
      </c>
    </row>
    <row r="22" spans="1:12" x14ac:dyDescent="0.45">
      <c r="B22" s="49" t="s">
        <v>38</v>
      </c>
      <c r="C22" s="16">
        <f>C6</f>
        <v>2500000</v>
      </c>
      <c r="D22" s="53">
        <f>C22/$C$29</f>
        <v>0.1388888888888889</v>
      </c>
      <c r="E22" s="26">
        <f>IFERROR(F22/C22,0)</f>
        <v>6</v>
      </c>
      <c r="F22" s="18">
        <v>15000000</v>
      </c>
      <c r="G22" s="19">
        <v>1</v>
      </c>
      <c r="H22" s="17">
        <f t="shared" si="4"/>
        <v>15000000</v>
      </c>
      <c r="I22" s="27"/>
      <c r="J22" s="27">
        <f t="shared" ref="J22:J23" si="5">+H22/C22</f>
        <v>6</v>
      </c>
    </row>
    <row r="23" spans="1:12" x14ac:dyDescent="0.45">
      <c r="B23" s="49" t="s">
        <v>5</v>
      </c>
      <c r="C23" s="16">
        <f>C7</f>
        <v>2500000</v>
      </c>
      <c r="D23" s="53">
        <f>C23/$C$29</f>
        <v>0.1388888888888889</v>
      </c>
      <c r="E23" s="26">
        <f>IFERROR(F23/C23,0)</f>
        <v>2</v>
      </c>
      <c r="F23" s="18">
        <v>5000000</v>
      </c>
      <c r="G23" s="19">
        <v>1</v>
      </c>
      <c r="H23" s="17">
        <f>C23*E23*G23</f>
        <v>5000000</v>
      </c>
      <c r="I23" s="27"/>
      <c r="J23" s="27">
        <f t="shared" si="5"/>
        <v>2</v>
      </c>
    </row>
    <row r="24" spans="1:12" x14ac:dyDescent="0.45">
      <c r="B24" s="49" t="s">
        <v>6</v>
      </c>
      <c r="C24" s="16">
        <f>C8</f>
        <v>7500000</v>
      </c>
      <c r="D24" s="53">
        <f>C24/$C$29</f>
        <v>0.41666666666666669</v>
      </c>
      <c r="E24" s="17"/>
      <c r="F24" s="18"/>
      <c r="G24" s="19"/>
      <c r="H24" s="17"/>
      <c r="I24" s="27"/>
      <c r="J24" s="27"/>
    </row>
    <row r="25" spans="1:12" x14ac:dyDescent="0.45">
      <c r="B25" s="49" t="s">
        <v>54</v>
      </c>
      <c r="C25" s="16">
        <f>+C9</f>
        <v>500000</v>
      </c>
      <c r="D25" s="53">
        <f t="shared" ref="D25:D27" si="6">C25/$C$29</f>
        <v>2.7777777777777776E-2</v>
      </c>
      <c r="E25" s="17"/>
      <c r="F25" s="18"/>
      <c r="G25" s="19"/>
      <c r="H25" s="17"/>
      <c r="I25" s="66">
        <v>2</v>
      </c>
      <c r="J25" s="27">
        <f t="shared" ref="J25" si="7">I25</f>
        <v>2</v>
      </c>
    </row>
    <row r="26" spans="1:12" x14ac:dyDescent="0.45">
      <c r="B26" s="49" t="s">
        <v>53</v>
      </c>
      <c r="C26" s="16">
        <f t="shared" ref="C26:C27" si="8">+C10</f>
        <v>500000</v>
      </c>
      <c r="D26" s="53">
        <f t="shared" si="6"/>
        <v>2.7777777777777776E-2</v>
      </c>
      <c r="E26" s="17"/>
      <c r="F26" s="18"/>
      <c r="G26" s="19"/>
      <c r="H26" s="17"/>
      <c r="I26" s="66">
        <v>4</v>
      </c>
      <c r="J26" s="27">
        <f t="shared" ref="J26:J28" si="9">I26</f>
        <v>4</v>
      </c>
    </row>
    <row r="27" spans="1:12" x14ac:dyDescent="0.45">
      <c r="B27" s="49" t="s">
        <v>52</v>
      </c>
      <c r="C27" s="16">
        <f t="shared" si="8"/>
        <v>500000</v>
      </c>
      <c r="D27" s="53">
        <f t="shared" si="6"/>
        <v>2.7777777777777776E-2</v>
      </c>
      <c r="E27" s="17"/>
      <c r="F27" s="18"/>
      <c r="G27" s="19"/>
      <c r="H27" s="17"/>
      <c r="I27" s="66">
        <v>6</v>
      </c>
      <c r="J27" s="27">
        <f t="shared" si="9"/>
        <v>6</v>
      </c>
    </row>
    <row r="28" spans="1:12" x14ac:dyDescent="0.45">
      <c r="B28" s="51" t="s">
        <v>55</v>
      </c>
      <c r="C28" s="20">
        <f>+C13</f>
        <v>1000000</v>
      </c>
      <c r="D28" s="54">
        <f>C28/$C$29</f>
        <v>5.5555555555555552E-2</v>
      </c>
      <c r="E28" s="21"/>
      <c r="F28" s="22"/>
      <c r="G28" s="23"/>
      <c r="H28" s="21"/>
      <c r="I28" s="8">
        <v>20</v>
      </c>
      <c r="J28" s="28">
        <f t="shared" si="9"/>
        <v>20</v>
      </c>
    </row>
    <row r="29" spans="1:12" x14ac:dyDescent="0.45">
      <c r="B29" s="43" t="s">
        <v>20</v>
      </c>
      <c r="C29" s="25">
        <f>SUM(C20:C28)</f>
        <v>18000000</v>
      </c>
      <c r="D29" s="9">
        <f>SUM(D20:D28)</f>
        <v>1</v>
      </c>
      <c r="F29" s="15">
        <f>SUM(F20:F28)</f>
        <v>80000000</v>
      </c>
      <c r="H29" s="15">
        <f>SUM(H20:H28)</f>
        <v>80000000</v>
      </c>
      <c r="I29" s="14"/>
      <c r="J29" s="14"/>
    </row>
    <row r="32" spans="1:12" s="48" customFormat="1" ht="33" customHeight="1" x14ac:dyDescent="0.45">
      <c r="A32" s="30" t="s">
        <v>3</v>
      </c>
    </row>
    <row r="33" spans="2:14" x14ac:dyDescent="0.45">
      <c r="C33" s="34">
        <v>1</v>
      </c>
      <c r="D33" s="34">
        <v>2</v>
      </c>
      <c r="E33" s="34">
        <v>3</v>
      </c>
      <c r="F33" s="34">
        <v>4</v>
      </c>
      <c r="G33" s="34">
        <v>5</v>
      </c>
      <c r="H33" s="34">
        <v>6</v>
      </c>
      <c r="I33" s="34">
        <v>7</v>
      </c>
      <c r="J33" s="34">
        <v>8</v>
      </c>
      <c r="K33" s="34">
        <v>9</v>
      </c>
      <c r="L33" s="34">
        <v>10</v>
      </c>
    </row>
    <row r="34" spans="2:14" s="48" customFormat="1" ht="21.4" customHeight="1" x14ac:dyDescent="0.45">
      <c r="B34" s="31" t="s">
        <v>10</v>
      </c>
      <c r="C34" s="33">
        <v>0</v>
      </c>
      <c r="D34" s="33">
        <v>20000000</v>
      </c>
      <c r="E34" s="33">
        <v>80000000</v>
      </c>
      <c r="F34" s="33">
        <v>95000000</v>
      </c>
      <c r="G34" s="33">
        <v>100000000</v>
      </c>
      <c r="H34" s="33">
        <v>128000000</v>
      </c>
      <c r="I34" s="33">
        <v>180000000</v>
      </c>
      <c r="J34" s="33">
        <v>236000000</v>
      </c>
      <c r="K34" s="33">
        <v>344000000</v>
      </c>
      <c r="L34" s="33">
        <v>500000000</v>
      </c>
    </row>
    <row r="35" spans="2:14" ht="33" customHeight="1" x14ac:dyDescent="0.45">
      <c r="B35" s="10" t="s">
        <v>26</v>
      </c>
      <c r="C35" s="46"/>
      <c r="D35" s="46"/>
      <c r="E35" s="46"/>
      <c r="F35" s="46"/>
      <c r="G35" s="46"/>
      <c r="H35" s="46"/>
      <c r="I35" s="46"/>
      <c r="J35" s="46"/>
      <c r="K35" s="46"/>
      <c r="L35" s="46"/>
    </row>
    <row r="36" spans="2:14" x14ac:dyDescent="0.45">
      <c r="B36" s="57" t="s">
        <v>4</v>
      </c>
      <c r="C36" s="24">
        <v>0</v>
      </c>
      <c r="D36" s="35">
        <v>0</v>
      </c>
      <c r="E36" s="35">
        <v>0</v>
      </c>
      <c r="F36" s="35">
        <v>0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0</v>
      </c>
    </row>
    <row r="37" spans="2:14" x14ac:dyDescent="0.45">
      <c r="B37" s="49" t="s">
        <v>19</v>
      </c>
      <c r="C37" s="24">
        <v>-5000000</v>
      </c>
      <c r="D37" s="35">
        <f>C37</f>
        <v>-5000000</v>
      </c>
      <c r="E37" s="35">
        <f t="shared" ref="E37:L37" si="10">D37</f>
        <v>-5000000</v>
      </c>
      <c r="F37" s="35">
        <f t="shared" si="10"/>
        <v>-5000000</v>
      </c>
      <c r="G37" s="35">
        <f t="shared" si="10"/>
        <v>-5000000</v>
      </c>
      <c r="H37" s="35">
        <f t="shared" si="10"/>
        <v>-5000000</v>
      </c>
      <c r="I37" s="35">
        <f t="shared" si="10"/>
        <v>-5000000</v>
      </c>
      <c r="J37" s="35">
        <f t="shared" si="10"/>
        <v>-5000000</v>
      </c>
      <c r="K37" s="35">
        <f t="shared" si="10"/>
        <v>-5000000</v>
      </c>
      <c r="L37" s="35">
        <f t="shared" si="10"/>
        <v>-5000000</v>
      </c>
    </row>
    <row r="38" spans="2:14" x14ac:dyDescent="0.45">
      <c r="B38" s="51" t="s">
        <v>18</v>
      </c>
      <c r="C38" s="7">
        <v>-15000000</v>
      </c>
      <c r="D38" s="29">
        <f>C38</f>
        <v>-15000000</v>
      </c>
      <c r="E38" s="29">
        <f t="shared" ref="E38:L38" si="11">D38</f>
        <v>-15000000</v>
      </c>
      <c r="F38" s="29">
        <f t="shared" si="11"/>
        <v>-15000000</v>
      </c>
      <c r="G38" s="29">
        <f t="shared" si="11"/>
        <v>-15000000</v>
      </c>
      <c r="H38" s="29">
        <f t="shared" si="11"/>
        <v>-15000000</v>
      </c>
      <c r="I38" s="29">
        <f t="shared" si="11"/>
        <v>-15000000</v>
      </c>
      <c r="J38" s="29">
        <f t="shared" si="11"/>
        <v>-15000000</v>
      </c>
      <c r="K38" s="29">
        <f t="shared" si="11"/>
        <v>-15000000</v>
      </c>
      <c r="L38" s="29">
        <f t="shared" si="11"/>
        <v>-15000000</v>
      </c>
    </row>
    <row r="39" spans="2:14" x14ac:dyDescent="0.45">
      <c r="B39" s="13" t="s">
        <v>25</v>
      </c>
      <c r="C39" s="50">
        <f>SUM(C36:C38)</f>
        <v>-20000000</v>
      </c>
      <c r="D39" s="50">
        <f t="shared" ref="D39:L39" si="12">SUM(D36:D38)</f>
        <v>-20000000</v>
      </c>
      <c r="E39" s="50">
        <f t="shared" si="12"/>
        <v>-20000000</v>
      </c>
      <c r="F39" s="50">
        <f t="shared" si="12"/>
        <v>-20000000</v>
      </c>
      <c r="G39" s="50">
        <f t="shared" si="12"/>
        <v>-20000000</v>
      </c>
      <c r="H39" s="50">
        <f t="shared" si="12"/>
        <v>-20000000</v>
      </c>
      <c r="I39" s="50">
        <f t="shared" si="12"/>
        <v>-20000000</v>
      </c>
      <c r="J39" s="50">
        <f t="shared" si="12"/>
        <v>-20000000</v>
      </c>
      <c r="K39" s="50">
        <f t="shared" si="12"/>
        <v>-20000000</v>
      </c>
      <c r="L39" s="50">
        <f t="shared" si="12"/>
        <v>-20000000</v>
      </c>
    </row>
    <row r="41" spans="2:14" s="48" customFormat="1" ht="21.85" customHeight="1" x14ac:dyDescent="0.45">
      <c r="B41" s="31" t="s">
        <v>63</v>
      </c>
      <c r="C41" s="32">
        <f t="shared" ref="C41:L41" si="13">C34+C39</f>
        <v>-20000000</v>
      </c>
      <c r="D41" s="32">
        <f t="shared" si="13"/>
        <v>0</v>
      </c>
      <c r="E41" s="32">
        <f t="shared" si="13"/>
        <v>60000000</v>
      </c>
      <c r="F41" s="32">
        <f t="shared" si="13"/>
        <v>75000000</v>
      </c>
      <c r="G41" s="32">
        <f t="shared" si="13"/>
        <v>80000000</v>
      </c>
      <c r="H41" s="32">
        <f t="shared" si="13"/>
        <v>108000000</v>
      </c>
      <c r="I41" s="32">
        <f t="shared" si="13"/>
        <v>160000000</v>
      </c>
      <c r="J41" s="32">
        <f t="shared" si="13"/>
        <v>216000000</v>
      </c>
      <c r="K41" s="32">
        <f t="shared" si="13"/>
        <v>324000000</v>
      </c>
      <c r="L41" s="32">
        <f t="shared" si="13"/>
        <v>480000000</v>
      </c>
    </row>
    <row r="43" spans="2:14" x14ac:dyDescent="0.45">
      <c r="B43" s="61" t="s">
        <v>47</v>
      </c>
      <c r="C43" s="64"/>
      <c r="D43" s="65" t="s">
        <v>48</v>
      </c>
      <c r="E43" s="65" t="s">
        <v>49</v>
      </c>
      <c r="F43" s="65" t="s">
        <v>50</v>
      </c>
      <c r="G43" s="65" t="s">
        <v>51</v>
      </c>
      <c r="H43" s="62"/>
      <c r="I43" s="62"/>
      <c r="J43" s="62"/>
      <c r="K43" s="62"/>
      <c r="L43" s="62"/>
    </row>
    <row r="44" spans="2:14" x14ac:dyDescent="0.45">
      <c r="B44" s="61" t="s">
        <v>46</v>
      </c>
      <c r="C44" s="61"/>
      <c r="D44" s="62">
        <f>-C41</f>
        <v>20000000</v>
      </c>
      <c r="E44" s="62">
        <f ca="1">E34-E49</f>
        <v>80000000</v>
      </c>
      <c r="F44" s="62">
        <f ca="1">F34-F53</f>
        <v>95000000</v>
      </c>
      <c r="G44" s="62">
        <f ca="1">+G34-G57</f>
        <v>100000000</v>
      </c>
    </row>
    <row r="45" spans="2:14" x14ac:dyDescent="0.45">
      <c r="B45" s="61"/>
      <c r="C45" s="61"/>
      <c r="D45" s="62"/>
      <c r="E45" s="62"/>
      <c r="F45" s="62"/>
      <c r="G45" s="62"/>
    </row>
    <row r="46" spans="2:14" ht="33" customHeight="1" x14ac:dyDescent="0.45">
      <c r="B46" s="10" t="s">
        <v>59</v>
      </c>
      <c r="C46" s="50"/>
      <c r="D46" s="50"/>
      <c r="E46" s="50"/>
      <c r="F46" s="50"/>
      <c r="G46" s="50"/>
      <c r="H46" s="50"/>
      <c r="I46" s="50"/>
      <c r="J46" s="50"/>
      <c r="K46" s="50"/>
      <c r="L46" s="50"/>
    </row>
    <row r="47" spans="2:14" x14ac:dyDescent="0.45">
      <c r="B47" t="s">
        <v>42</v>
      </c>
      <c r="C47" s="15">
        <f t="shared" ref="C47:L47" ca="1" si="14">IF(($E$21*$G$21)&gt;C$75,$H$21,0)</f>
        <v>60000000</v>
      </c>
      <c r="D47" s="15">
        <f t="shared" ca="1" si="14"/>
        <v>60000000</v>
      </c>
      <c r="E47" s="15">
        <f t="shared" ca="1" si="14"/>
        <v>60000000</v>
      </c>
      <c r="F47" s="15">
        <f t="shared" ca="1" si="14"/>
        <v>60000000</v>
      </c>
      <c r="G47" s="15">
        <f t="shared" ca="1" si="14"/>
        <v>60000000</v>
      </c>
      <c r="H47" s="15">
        <f t="shared" ca="1" si="14"/>
        <v>60000000</v>
      </c>
      <c r="I47" s="15">
        <f t="shared" ca="1" si="14"/>
        <v>60000000</v>
      </c>
      <c r="J47" s="15">
        <f t="shared" ca="1" si="14"/>
        <v>60000000</v>
      </c>
      <c r="K47" s="15">
        <f t="shared" ca="1" si="14"/>
        <v>60000000</v>
      </c>
      <c r="L47" s="15">
        <f t="shared" ca="1" si="14"/>
        <v>0</v>
      </c>
      <c r="N47" s="9"/>
    </row>
    <row r="48" spans="2:14" x14ac:dyDescent="0.45">
      <c r="B48" t="s">
        <v>43</v>
      </c>
      <c r="C48" s="15">
        <f t="shared" ref="C48:L48" ca="1" si="15">IF(C41-(MAX(C47,(C75*$C$21)))&lt;0,MAX(C41,0),(MAX(C47,(C75*$C$21))))</f>
        <v>0</v>
      </c>
      <c r="D48" s="15">
        <f t="shared" ca="1" si="15"/>
        <v>0</v>
      </c>
      <c r="E48" s="15">
        <f t="shared" ca="1" si="15"/>
        <v>60000000</v>
      </c>
      <c r="F48" s="15">
        <f t="shared" ca="1" si="15"/>
        <v>60000000</v>
      </c>
      <c r="G48" s="15">
        <f t="shared" ca="1" si="15"/>
        <v>60000000</v>
      </c>
      <c r="H48" s="15">
        <f t="shared" ca="1" si="15"/>
        <v>60000000</v>
      </c>
      <c r="I48" s="15">
        <f t="shared" ca="1" si="15"/>
        <v>60000000</v>
      </c>
      <c r="J48" s="15">
        <f t="shared" ca="1" si="15"/>
        <v>60000000</v>
      </c>
      <c r="K48" s="15">
        <f t="shared" ca="1" si="15"/>
        <v>60000000</v>
      </c>
      <c r="L48" s="15">
        <f t="shared" ca="1" si="15"/>
        <v>84333333.333333328</v>
      </c>
    </row>
    <row r="49" spans="2:12" x14ac:dyDescent="0.45">
      <c r="B49" t="s">
        <v>45</v>
      </c>
      <c r="C49" s="15">
        <f t="shared" ref="C49:L49" ca="1" si="16">IF(C47&gt;0,MAX((C$41-C47),0),C$41-($C$21*C$75))</f>
        <v>0</v>
      </c>
      <c r="D49" s="15">
        <f t="shared" ca="1" si="16"/>
        <v>0</v>
      </c>
      <c r="E49" s="63">
        <f t="shared" ca="1" si="16"/>
        <v>0</v>
      </c>
      <c r="F49" s="15">
        <f t="shared" ca="1" si="16"/>
        <v>15000000</v>
      </c>
      <c r="G49" s="15">
        <f t="shared" ca="1" si="16"/>
        <v>20000000</v>
      </c>
      <c r="H49" s="15">
        <f t="shared" ca="1" si="16"/>
        <v>48000000</v>
      </c>
      <c r="I49" s="15">
        <f t="shared" ca="1" si="16"/>
        <v>100000000</v>
      </c>
      <c r="J49" s="15">
        <f t="shared" ca="1" si="16"/>
        <v>156000000</v>
      </c>
      <c r="K49" s="15">
        <f t="shared" ca="1" si="16"/>
        <v>264000000</v>
      </c>
      <c r="L49" s="15">
        <f t="shared" ca="1" si="16"/>
        <v>395666666.66666669</v>
      </c>
    </row>
    <row r="51" spans="2:12" x14ac:dyDescent="0.45">
      <c r="B51" t="s">
        <v>40</v>
      </c>
      <c r="C51" s="15">
        <f t="shared" ref="C51:L51" ca="1" si="17">IF(($E$22*$G$22)&gt;C$75,$H$22,0)</f>
        <v>15000000</v>
      </c>
      <c r="D51" s="15">
        <f t="shared" ca="1" si="17"/>
        <v>15000000</v>
      </c>
      <c r="E51" s="15">
        <f t="shared" ca="1" si="17"/>
        <v>15000000</v>
      </c>
      <c r="F51" s="15">
        <f t="shared" ca="1" si="17"/>
        <v>15000000</v>
      </c>
      <c r="G51" s="15">
        <f t="shared" ca="1" si="17"/>
        <v>15000000</v>
      </c>
      <c r="H51" s="15">
        <f t="shared" ca="1" si="17"/>
        <v>15000000</v>
      </c>
      <c r="I51" s="15">
        <f t="shared" ca="1" si="17"/>
        <v>0</v>
      </c>
      <c r="J51" s="15">
        <f t="shared" ca="1" si="17"/>
        <v>0</v>
      </c>
      <c r="K51" s="15">
        <f t="shared" ca="1" si="17"/>
        <v>0</v>
      </c>
      <c r="L51" s="15">
        <f t="shared" ca="1" si="17"/>
        <v>0</v>
      </c>
    </row>
    <row r="52" spans="2:12" x14ac:dyDescent="0.45">
      <c r="B52" t="s">
        <v>41</v>
      </c>
      <c r="C52" s="15">
        <f t="shared" ref="C52:L52" ca="1" si="18">IF(C49-(MAX(C51,(C75*$C$22)))&lt;0,MAX(C49,0),(MAX(C51,(C75*$C$22))))</f>
        <v>0</v>
      </c>
      <c r="D52" s="15">
        <f t="shared" ca="1" si="18"/>
        <v>0</v>
      </c>
      <c r="E52" s="15">
        <f t="shared" ca="1" si="18"/>
        <v>0</v>
      </c>
      <c r="F52" s="15">
        <f t="shared" ca="1" si="18"/>
        <v>15000000</v>
      </c>
      <c r="G52" s="15">
        <f t="shared" ca="1" si="18"/>
        <v>15000000</v>
      </c>
      <c r="H52" s="15">
        <f t="shared" ca="1" si="18"/>
        <v>15000000</v>
      </c>
      <c r="I52" s="15">
        <f t="shared" ca="1" si="18"/>
        <v>18928571.428571429</v>
      </c>
      <c r="J52" s="15">
        <f t="shared" ca="1" si="18"/>
        <v>28928571.428571429</v>
      </c>
      <c r="K52" s="15">
        <f t="shared" ca="1" si="18"/>
        <v>48214285.714285709</v>
      </c>
      <c r="L52" s="15">
        <f t="shared" ca="1" si="18"/>
        <v>70277777.777777776</v>
      </c>
    </row>
    <row r="53" spans="2:12" x14ac:dyDescent="0.45">
      <c r="B53" t="s">
        <v>45</v>
      </c>
      <c r="C53" s="15">
        <f t="shared" ref="C53:L53" ca="1" si="19">IF(C51&gt;0,MAX((C$49-C51),0),C$49-($C$22*C$75))</f>
        <v>0</v>
      </c>
      <c r="D53" s="15">
        <f t="shared" ca="1" si="19"/>
        <v>0</v>
      </c>
      <c r="E53" s="15">
        <f t="shared" ca="1" si="19"/>
        <v>0</v>
      </c>
      <c r="F53" s="63">
        <f t="shared" ca="1" si="19"/>
        <v>0</v>
      </c>
      <c r="G53" s="15">
        <f t="shared" ca="1" si="19"/>
        <v>5000000</v>
      </c>
      <c r="H53" s="15">
        <f t="shared" ca="1" si="19"/>
        <v>33000000</v>
      </c>
      <c r="I53" s="15">
        <f t="shared" ca="1" si="19"/>
        <v>81071428.571428567</v>
      </c>
      <c r="J53" s="15">
        <f t="shared" ca="1" si="19"/>
        <v>127071428.57142857</v>
      </c>
      <c r="K53" s="15">
        <f t="shared" ca="1" si="19"/>
        <v>215785714.2857143</v>
      </c>
      <c r="L53" s="15">
        <f t="shared" ca="1" si="19"/>
        <v>325388888.8888889</v>
      </c>
    </row>
    <row r="55" spans="2:12" x14ac:dyDescent="0.45">
      <c r="B55" t="s">
        <v>30</v>
      </c>
      <c r="C55" s="15">
        <f t="shared" ref="C55:L55" ca="1" si="20">IF(($E$23*$G$23)&gt;C$75,$H$23,0)</f>
        <v>5000000</v>
      </c>
      <c r="D55" s="15">
        <f t="shared" ca="1" si="20"/>
        <v>5000000</v>
      </c>
      <c r="E55" s="15">
        <f t="shared" ca="1" si="20"/>
        <v>5000000</v>
      </c>
      <c r="F55" s="15">
        <f t="shared" ca="1" si="20"/>
        <v>5000000</v>
      </c>
      <c r="G55" s="15">
        <f t="shared" ca="1" si="20"/>
        <v>5000000</v>
      </c>
      <c r="H55" s="15">
        <f t="shared" ca="1" si="20"/>
        <v>0</v>
      </c>
      <c r="I55" s="15">
        <f t="shared" ca="1" si="20"/>
        <v>0</v>
      </c>
      <c r="J55" s="15">
        <f t="shared" ca="1" si="20"/>
        <v>0</v>
      </c>
      <c r="K55" s="15">
        <f t="shared" ca="1" si="20"/>
        <v>0</v>
      </c>
      <c r="L55" s="15">
        <f t="shared" ca="1" si="20"/>
        <v>0</v>
      </c>
    </row>
    <row r="56" spans="2:12" x14ac:dyDescent="0.45">
      <c r="B56" t="s">
        <v>29</v>
      </c>
      <c r="C56" s="15">
        <f t="shared" ref="C56:L56" ca="1" si="21">IF(C53-(MAX(C55,(C75*$C$23)))&lt;0,MAX(C53,0),(MAX(C55,(C75*$C$23))))</f>
        <v>0</v>
      </c>
      <c r="D56" s="15">
        <f t="shared" ca="1" si="21"/>
        <v>0</v>
      </c>
      <c r="E56" s="15">
        <f t="shared" ca="1" si="21"/>
        <v>0</v>
      </c>
      <c r="F56" s="15">
        <f t="shared" ca="1" si="21"/>
        <v>0</v>
      </c>
      <c r="G56" s="15">
        <f t="shared" ca="1" si="21"/>
        <v>5000000</v>
      </c>
      <c r="H56" s="15">
        <f t="shared" ca="1" si="21"/>
        <v>8095238.0952380951</v>
      </c>
      <c r="I56" s="15">
        <f t="shared" ca="1" si="21"/>
        <v>18928571.428571429</v>
      </c>
      <c r="J56" s="15">
        <f t="shared" ca="1" si="21"/>
        <v>28928571.428571429</v>
      </c>
      <c r="K56" s="15">
        <f t="shared" ca="1" si="21"/>
        <v>48214285.714285709</v>
      </c>
      <c r="L56" s="15">
        <f t="shared" ca="1" si="21"/>
        <v>70277777.777777776</v>
      </c>
    </row>
    <row r="57" spans="2:12" x14ac:dyDescent="0.45">
      <c r="B57" t="s">
        <v>45</v>
      </c>
      <c r="C57" s="15">
        <f t="shared" ref="C57:L57" ca="1" si="22">IF(C55&gt;0,MAX((C$53-C55),0),C$53-($C$23*C75))</f>
        <v>0</v>
      </c>
      <c r="D57" s="15">
        <f t="shared" ca="1" si="22"/>
        <v>0</v>
      </c>
      <c r="E57" s="15">
        <f t="shared" ca="1" si="22"/>
        <v>0</v>
      </c>
      <c r="F57" s="15">
        <f t="shared" ca="1" si="22"/>
        <v>0</v>
      </c>
      <c r="G57" s="63">
        <f t="shared" ca="1" si="22"/>
        <v>0</v>
      </c>
      <c r="H57" s="15">
        <f t="shared" ca="1" si="22"/>
        <v>24904761.904761903</v>
      </c>
      <c r="I57" s="15">
        <f t="shared" ca="1" si="22"/>
        <v>62142857.142857134</v>
      </c>
      <c r="J57" s="15">
        <f t="shared" ca="1" si="22"/>
        <v>98142857.142857134</v>
      </c>
      <c r="K57" s="15">
        <f t="shared" ca="1" si="22"/>
        <v>167571428.5714286</v>
      </c>
      <c r="L57" s="15">
        <f t="shared" ca="1" si="22"/>
        <v>255111111.1111111</v>
      </c>
    </row>
    <row r="58" spans="2:12" x14ac:dyDescent="0.45">
      <c r="B58"/>
      <c r="C58"/>
      <c r="D58"/>
      <c r="E58"/>
      <c r="F58"/>
      <c r="G58"/>
      <c r="H58"/>
      <c r="I58"/>
      <c r="J58"/>
      <c r="K58"/>
      <c r="L58"/>
    </row>
    <row r="59" spans="2:12" x14ac:dyDescent="0.45">
      <c r="B59" s="43" t="s">
        <v>56</v>
      </c>
      <c r="C59" s="44">
        <f t="shared" ref="C59:L59" ca="1" si="23">C47+C51+C55</f>
        <v>80000000</v>
      </c>
      <c r="D59" s="44">
        <f t="shared" ca="1" si="23"/>
        <v>80000000</v>
      </c>
      <c r="E59" s="44">
        <f t="shared" ca="1" si="23"/>
        <v>80000000</v>
      </c>
      <c r="F59" s="44">
        <f t="shared" ca="1" si="23"/>
        <v>80000000</v>
      </c>
      <c r="G59" s="44">
        <f t="shared" ca="1" si="23"/>
        <v>80000000</v>
      </c>
      <c r="H59" s="44">
        <f t="shared" ca="1" si="23"/>
        <v>75000000</v>
      </c>
      <c r="I59" s="44">
        <f t="shared" ca="1" si="23"/>
        <v>60000000</v>
      </c>
      <c r="J59" s="44">
        <f t="shared" ca="1" si="23"/>
        <v>60000000</v>
      </c>
      <c r="K59" s="44">
        <f t="shared" ca="1" si="23"/>
        <v>60000000</v>
      </c>
      <c r="L59" s="44">
        <f t="shared" ca="1" si="23"/>
        <v>0</v>
      </c>
    </row>
    <row r="60" spans="2:12" x14ac:dyDescent="0.45">
      <c r="C60" s="44"/>
      <c r="D60" s="44"/>
      <c r="E60" s="44"/>
      <c r="F60" s="44"/>
      <c r="G60" s="44"/>
      <c r="H60" s="44"/>
      <c r="I60" s="44"/>
      <c r="J60" s="44"/>
      <c r="K60" s="44"/>
      <c r="L60" s="44"/>
    </row>
    <row r="61" spans="2:12" x14ac:dyDescent="0.45">
      <c r="B61" s="43" t="s">
        <v>60</v>
      </c>
      <c r="C61" s="44">
        <f t="shared" ref="C61:L61" ca="1" si="24">IF(C47=0,C41,IF(C51=0,C41-C47,IF(C55=0,C41-C47-C51,C57)))</f>
        <v>0</v>
      </c>
      <c r="D61" s="44">
        <f t="shared" ca="1" si="24"/>
        <v>0</v>
      </c>
      <c r="E61" s="44">
        <f t="shared" ca="1" si="24"/>
        <v>0</v>
      </c>
      <c r="F61" s="44">
        <f t="shared" ca="1" si="24"/>
        <v>0</v>
      </c>
      <c r="G61" s="44">
        <f t="shared" ca="1" si="24"/>
        <v>0</v>
      </c>
      <c r="H61" s="44">
        <f t="shared" ca="1" si="24"/>
        <v>33000000</v>
      </c>
      <c r="I61" s="44">
        <f t="shared" ca="1" si="24"/>
        <v>100000000</v>
      </c>
      <c r="J61" s="44">
        <f t="shared" ca="1" si="24"/>
        <v>156000000</v>
      </c>
      <c r="K61" s="44">
        <f t="shared" ca="1" si="24"/>
        <v>264000000</v>
      </c>
      <c r="L61" s="44">
        <f t="shared" ca="1" si="24"/>
        <v>480000000</v>
      </c>
    </row>
    <row r="62" spans="2:12" x14ac:dyDescent="0.45">
      <c r="C62" s="44"/>
      <c r="D62" s="44"/>
      <c r="E62" s="44"/>
      <c r="F62" s="44"/>
      <c r="G62" s="44"/>
      <c r="H62" s="44"/>
      <c r="I62" s="44"/>
      <c r="J62" s="44"/>
      <c r="K62" s="44"/>
      <c r="L62" s="44"/>
    </row>
    <row r="63" spans="2:12" ht="33" customHeight="1" x14ac:dyDescent="0.45">
      <c r="B63" s="10" t="s">
        <v>37</v>
      </c>
      <c r="J63" s="36"/>
      <c r="K63" s="36"/>
      <c r="L63" s="36"/>
    </row>
    <row r="64" spans="2:12" x14ac:dyDescent="0.45">
      <c r="B64" s="57" t="s">
        <v>4</v>
      </c>
      <c r="J64" s="36"/>
      <c r="K64" s="36"/>
      <c r="L64" s="36"/>
    </row>
    <row r="65" spans="2:12" x14ac:dyDescent="0.45">
      <c r="B65" s="49" t="s">
        <v>39</v>
      </c>
      <c r="C65" s="5">
        <f t="shared" ref="C65:L65" ca="1" si="25">IF(C47=0,$C$21,0)</f>
        <v>0</v>
      </c>
      <c r="D65" s="5">
        <f t="shared" ca="1" si="25"/>
        <v>0</v>
      </c>
      <c r="E65" s="5">
        <f t="shared" ca="1" si="25"/>
        <v>0</v>
      </c>
      <c r="F65" s="5">
        <f t="shared" ca="1" si="25"/>
        <v>0</v>
      </c>
      <c r="G65" s="5">
        <f t="shared" ca="1" si="25"/>
        <v>0</v>
      </c>
      <c r="H65" s="5">
        <f t="shared" ca="1" si="25"/>
        <v>0</v>
      </c>
      <c r="I65" s="5">
        <f t="shared" ca="1" si="25"/>
        <v>0</v>
      </c>
      <c r="J65" s="5">
        <f t="shared" ca="1" si="25"/>
        <v>0</v>
      </c>
      <c r="K65" s="5">
        <f t="shared" ca="1" si="25"/>
        <v>0</v>
      </c>
      <c r="L65" s="5">
        <f t="shared" ca="1" si="25"/>
        <v>3000000</v>
      </c>
    </row>
    <row r="66" spans="2:12" x14ac:dyDescent="0.45">
      <c r="B66" s="49" t="s">
        <v>38</v>
      </c>
      <c r="C66" s="5">
        <f t="shared" ref="C66:L66" ca="1" si="26">IF(C51=0,$C$22,0)</f>
        <v>0</v>
      </c>
      <c r="D66" s="5">
        <f t="shared" ca="1" si="26"/>
        <v>0</v>
      </c>
      <c r="E66" s="5">
        <f t="shared" ca="1" si="26"/>
        <v>0</v>
      </c>
      <c r="F66" s="5">
        <f t="shared" ca="1" si="26"/>
        <v>0</v>
      </c>
      <c r="G66" s="5">
        <f t="shared" ca="1" si="26"/>
        <v>0</v>
      </c>
      <c r="H66" s="5">
        <f t="shared" ca="1" si="26"/>
        <v>0</v>
      </c>
      <c r="I66" s="5">
        <f t="shared" ca="1" si="26"/>
        <v>2500000</v>
      </c>
      <c r="J66" s="5">
        <f t="shared" ca="1" si="26"/>
        <v>2500000</v>
      </c>
      <c r="K66" s="5">
        <f t="shared" ca="1" si="26"/>
        <v>2500000</v>
      </c>
      <c r="L66" s="5">
        <f t="shared" ca="1" si="26"/>
        <v>2500000</v>
      </c>
    </row>
    <row r="67" spans="2:12" x14ac:dyDescent="0.45">
      <c r="B67" s="49" t="s">
        <v>5</v>
      </c>
      <c r="C67" s="5">
        <f t="shared" ref="C67:L67" ca="1" si="27">IF(C55=0,$C$23,0)</f>
        <v>0</v>
      </c>
      <c r="D67" s="5">
        <f t="shared" ca="1" si="27"/>
        <v>0</v>
      </c>
      <c r="E67" s="5">
        <f t="shared" ca="1" si="27"/>
        <v>0</v>
      </c>
      <c r="F67" s="5">
        <f t="shared" ca="1" si="27"/>
        <v>0</v>
      </c>
      <c r="G67" s="5">
        <f t="shared" ca="1" si="27"/>
        <v>0</v>
      </c>
      <c r="H67" s="5">
        <f t="shared" ca="1" si="27"/>
        <v>2500000</v>
      </c>
      <c r="I67" s="5">
        <f t="shared" ca="1" si="27"/>
        <v>2500000</v>
      </c>
      <c r="J67" s="5">
        <f t="shared" ca="1" si="27"/>
        <v>2500000</v>
      </c>
      <c r="K67" s="5">
        <f t="shared" ca="1" si="27"/>
        <v>2500000</v>
      </c>
      <c r="L67" s="5">
        <f t="shared" ca="1" si="27"/>
        <v>2500000</v>
      </c>
    </row>
    <row r="68" spans="2:12" x14ac:dyDescent="0.45">
      <c r="B68" s="49" t="s">
        <v>6</v>
      </c>
      <c r="C68" s="68">
        <f>$C$24</f>
        <v>7500000</v>
      </c>
      <c r="D68" s="68">
        <f t="shared" ref="D68:L68" si="28">$C$24</f>
        <v>7500000</v>
      </c>
      <c r="E68" s="68">
        <f t="shared" si="28"/>
        <v>7500000</v>
      </c>
      <c r="F68" s="68">
        <f t="shared" si="28"/>
        <v>7500000</v>
      </c>
      <c r="G68" s="68">
        <f t="shared" si="28"/>
        <v>7500000</v>
      </c>
      <c r="H68" s="68">
        <f t="shared" si="28"/>
        <v>7500000</v>
      </c>
      <c r="I68" s="68">
        <f t="shared" si="28"/>
        <v>7500000</v>
      </c>
      <c r="J68" s="68">
        <f t="shared" si="28"/>
        <v>7500000</v>
      </c>
      <c r="K68" s="68">
        <f t="shared" si="28"/>
        <v>7500000</v>
      </c>
      <c r="L68" s="68">
        <f t="shared" si="28"/>
        <v>7500000</v>
      </c>
    </row>
    <row r="69" spans="2:12" x14ac:dyDescent="0.45">
      <c r="B69" s="49" t="s">
        <v>54</v>
      </c>
      <c r="C69" s="5">
        <f t="shared" ref="C69:L69" ca="1" si="29">IF((C$41-C$59)/SUM($C$21:$C$24)&gt;$I$25,$C$25,0)</f>
        <v>0</v>
      </c>
      <c r="D69" s="5">
        <f t="shared" ca="1" si="29"/>
        <v>0</v>
      </c>
      <c r="E69" s="5">
        <f t="shared" ca="1" si="29"/>
        <v>0</v>
      </c>
      <c r="F69" s="5">
        <f t="shared" ca="1" si="29"/>
        <v>0</v>
      </c>
      <c r="G69" s="5">
        <f t="shared" ca="1" si="29"/>
        <v>0</v>
      </c>
      <c r="H69" s="5">
        <f t="shared" ca="1" si="29"/>
        <v>500000</v>
      </c>
      <c r="I69" s="5">
        <f t="shared" ca="1" si="29"/>
        <v>500000</v>
      </c>
      <c r="J69" s="5">
        <f t="shared" ca="1" si="29"/>
        <v>500000</v>
      </c>
      <c r="K69" s="5">
        <f t="shared" ca="1" si="29"/>
        <v>500000</v>
      </c>
      <c r="L69" s="5">
        <f t="shared" ca="1" si="29"/>
        <v>500000</v>
      </c>
    </row>
    <row r="70" spans="2:12" x14ac:dyDescent="0.45">
      <c r="B70" s="49" t="s">
        <v>53</v>
      </c>
      <c r="C70" s="5">
        <f t="shared" ref="C70:L70" ca="1" si="30">IF((C$41-C$59)/SUM($C$21:$C$25)&gt;$I$26,$C$26,0)</f>
        <v>0</v>
      </c>
      <c r="D70" s="5">
        <f t="shared" ca="1" si="30"/>
        <v>0</v>
      </c>
      <c r="E70" s="5">
        <f t="shared" ca="1" si="30"/>
        <v>0</v>
      </c>
      <c r="F70" s="5">
        <f t="shared" ca="1" si="30"/>
        <v>0</v>
      </c>
      <c r="G70" s="5">
        <f t="shared" ca="1" si="30"/>
        <v>0</v>
      </c>
      <c r="H70" s="5">
        <f t="shared" ca="1" si="30"/>
        <v>0</v>
      </c>
      <c r="I70" s="5">
        <f t="shared" ca="1" si="30"/>
        <v>500000</v>
      </c>
      <c r="J70" s="5">
        <f t="shared" ca="1" si="30"/>
        <v>500000</v>
      </c>
      <c r="K70" s="5">
        <f t="shared" ca="1" si="30"/>
        <v>500000</v>
      </c>
      <c r="L70" s="5">
        <f t="shared" ca="1" si="30"/>
        <v>500000</v>
      </c>
    </row>
    <row r="71" spans="2:12" x14ac:dyDescent="0.45">
      <c r="B71" s="49" t="s">
        <v>52</v>
      </c>
      <c r="C71" s="5">
        <f t="shared" ref="C71:L71" ca="1" si="31">IF((C$41-C$59)/SUM($C$21:$C$26)&gt;$I$27,$C$27,0)</f>
        <v>0</v>
      </c>
      <c r="D71" s="5">
        <f t="shared" ca="1" si="31"/>
        <v>0</v>
      </c>
      <c r="E71" s="5">
        <f t="shared" ca="1" si="31"/>
        <v>0</v>
      </c>
      <c r="F71" s="5">
        <f t="shared" ca="1" si="31"/>
        <v>0</v>
      </c>
      <c r="G71" s="5">
        <f t="shared" ca="1" si="31"/>
        <v>0</v>
      </c>
      <c r="H71" s="5">
        <f t="shared" ca="1" si="31"/>
        <v>0</v>
      </c>
      <c r="I71" s="5">
        <f t="shared" ca="1" si="31"/>
        <v>500000</v>
      </c>
      <c r="J71" s="5">
        <f t="shared" ca="1" si="31"/>
        <v>500000</v>
      </c>
      <c r="K71" s="5">
        <f t="shared" ca="1" si="31"/>
        <v>500000</v>
      </c>
      <c r="L71" s="5">
        <f t="shared" ca="1" si="31"/>
        <v>500000</v>
      </c>
    </row>
    <row r="72" spans="2:12" x14ac:dyDescent="0.45">
      <c r="B72" s="51" t="s">
        <v>55</v>
      </c>
      <c r="C72" s="20">
        <f t="shared" ref="C72:L72" ca="1" si="32">IF((C$41-C$59)/SUM($C$21:$C$27)&gt;$I$28,$C$28,0)</f>
        <v>0</v>
      </c>
      <c r="D72" s="20">
        <f t="shared" ca="1" si="32"/>
        <v>0</v>
      </c>
      <c r="E72" s="20">
        <f t="shared" ca="1" si="32"/>
        <v>0</v>
      </c>
      <c r="F72" s="20">
        <f t="shared" ca="1" si="32"/>
        <v>0</v>
      </c>
      <c r="G72" s="20">
        <f t="shared" ca="1" si="32"/>
        <v>0</v>
      </c>
      <c r="H72" s="20">
        <f t="shared" ca="1" si="32"/>
        <v>0</v>
      </c>
      <c r="I72" s="20">
        <f t="shared" ca="1" si="32"/>
        <v>0</v>
      </c>
      <c r="J72" s="20">
        <f t="shared" ca="1" si="32"/>
        <v>0</v>
      </c>
      <c r="K72" s="20">
        <f t="shared" ca="1" si="32"/>
        <v>0</v>
      </c>
      <c r="L72" s="20">
        <f t="shared" ca="1" si="32"/>
        <v>1000000</v>
      </c>
    </row>
    <row r="73" spans="2:12" x14ac:dyDescent="0.45">
      <c r="B73" s="67" t="s">
        <v>57</v>
      </c>
      <c r="C73" s="50">
        <f ca="1">SUM(C65:C72)</f>
        <v>7500000</v>
      </c>
      <c r="D73" s="50">
        <f t="shared" ref="D73:L73" ca="1" si="33">SUM(D65:D72)</f>
        <v>7500000</v>
      </c>
      <c r="E73" s="50">
        <f t="shared" ca="1" si="33"/>
        <v>7500000</v>
      </c>
      <c r="F73" s="50">
        <f t="shared" ca="1" si="33"/>
        <v>7500000</v>
      </c>
      <c r="G73" s="50">
        <f t="shared" ca="1" si="33"/>
        <v>7500000</v>
      </c>
      <c r="H73" s="50">
        <f t="shared" ca="1" si="33"/>
        <v>10500000</v>
      </c>
      <c r="I73" s="50">
        <f t="shared" ca="1" si="33"/>
        <v>14000000</v>
      </c>
      <c r="J73" s="50">
        <f t="shared" ca="1" si="33"/>
        <v>14000000</v>
      </c>
      <c r="K73" s="50">
        <f t="shared" ca="1" si="33"/>
        <v>14000000</v>
      </c>
      <c r="L73" s="50">
        <f t="shared" ca="1" si="33"/>
        <v>18000000</v>
      </c>
    </row>
    <row r="74" spans="2:12" x14ac:dyDescent="0.45">
      <c r="J74" s="36"/>
      <c r="K74" s="36"/>
      <c r="L74" s="36"/>
    </row>
    <row r="75" spans="2:12" x14ac:dyDescent="0.45">
      <c r="B75" s="55" t="s">
        <v>58</v>
      </c>
      <c r="C75" s="14">
        <f t="shared" ref="C75:J75" ca="1" si="34">(C61+(C69*$I$25+C70*$I$26+C71*$I$27+C72*$I$28))/C73</f>
        <v>0</v>
      </c>
      <c r="D75" s="14">
        <f t="shared" ca="1" si="34"/>
        <v>0</v>
      </c>
      <c r="E75" s="14">
        <f t="shared" ca="1" si="34"/>
        <v>0</v>
      </c>
      <c r="F75" s="14">
        <f t="shared" ca="1" si="34"/>
        <v>0</v>
      </c>
      <c r="G75" s="14">
        <f t="shared" ca="1" si="34"/>
        <v>0</v>
      </c>
      <c r="H75" s="14">
        <f ca="1">(H61+(H69*$I$25+H70*$I$26+H71*$I$27+H72*$I$28))/H73</f>
        <v>3.2380952380952381</v>
      </c>
      <c r="I75" s="14">
        <f t="shared" ca="1" si="34"/>
        <v>7.5714285714285712</v>
      </c>
      <c r="J75" s="14">
        <f t="shared" ca="1" si="34"/>
        <v>11.571428571428571</v>
      </c>
      <c r="K75" s="14">
        <f ca="1">(K61+(K69*$I$25+K70*$I$26+K71*$I$27+K72*$I$28))/K73</f>
        <v>19.285714285714285</v>
      </c>
      <c r="L75" s="14">
        <f ca="1">(L61+(L69*$I$25+L70*$I$26+L71*$I$27+L72*$I$28))/L73</f>
        <v>28.111111111111111</v>
      </c>
    </row>
    <row r="76" spans="2:12" x14ac:dyDescent="0.45">
      <c r="B76" s="55"/>
      <c r="J76" s="36"/>
      <c r="K76" s="36"/>
      <c r="L76" s="36"/>
    </row>
    <row r="77" spans="2:12" ht="33" customHeight="1" x14ac:dyDescent="0.45">
      <c r="B77" s="10" t="s">
        <v>36</v>
      </c>
      <c r="J77" s="36"/>
      <c r="K77" s="36"/>
      <c r="L77" s="36"/>
    </row>
    <row r="78" spans="2:12" x14ac:dyDescent="0.45">
      <c r="B78" s="57" t="s">
        <v>4</v>
      </c>
      <c r="J78" s="36"/>
      <c r="K78" s="36"/>
      <c r="L78" s="36"/>
    </row>
    <row r="79" spans="2:12" x14ac:dyDescent="0.45">
      <c r="B79" s="49" t="s">
        <v>39</v>
      </c>
      <c r="C79" s="44">
        <f t="shared" ref="C79:L79" ca="1" si="35">MAX(C48,C$75*$C$21)</f>
        <v>0</v>
      </c>
      <c r="D79" s="44">
        <f t="shared" ca="1" si="35"/>
        <v>0</v>
      </c>
      <c r="E79" s="44">
        <f t="shared" ca="1" si="35"/>
        <v>60000000</v>
      </c>
      <c r="F79" s="44">
        <f t="shared" ca="1" si="35"/>
        <v>60000000</v>
      </c>
      <c r="G79" s="44">
        <f t="shared" ca="1" si="35"/>
        <v>60000000</v>
      </c>
      <c r="H79" s="44">
        <f t="shared" ca="1" si="35"/>
        <v>60000000</v>
      </c>
      <c r="I79" s="44">
        <f t="shared" ca="1" si="35"/>
        <v>60000000</v>
      </c>
      <c r="J79" s="44">
        <f t="shared" ca="1" si="35"/>
        <v>60000000</v>
      </c>
      <c r="K79" s="44">
        <f t="shared" ca="1" si="35"/>
        <v>60000000</v>
      </c>
      <c r="L79" s="44">
        <f t="shared" ca="1" si="35"/>
        <v>84333333.333333328</v>
      </c>
    </row>
    <row r="80" spans="2:12" x14ac:dyDescent="0.45">
      <c r="B80" s="49" t="s">
        <v>38</v>
      </c>
      <c r="C80" s="44">
        <f t="shared" ref="C80:L80" ca="1" si="36">MAX(C52,C$75*$C$22)</f>
        <v>0</v>
      </c>
      <c r="D80" s="44">
        <f t="shared" ca="1" si="36"/>
        <v>0</v>
      </c>
      <c r="E80" s="44">
        <f t="shared" ca="1" si="36"/>
        <v>0</v>
      </c>
      <c r="F80" s="44">
        <f t="shared" ca="1" si="36"/>
        <v>15000000</v>
      </c>
      <c r="G80" s="44">
        <f t="shared" ca="1" si="36"/>
        <v>15000000</v>
      </c>
      <c r="H80" s="44">
        <f t="shared" ca="1" si="36"/>
        <v>15000000</v>
      </c>
      <c r="I80" s="44">
        <f t="shared" ca="1" si="36"/>
        <v>18928571.428571429</v>
      </c>
      <c r="J80" s="44">
        <f t="shared" ca="1" si="36"/>
        <v>28928571.428571429</v>
      </c>
      <c r="K80" s="44">
        <f t="shared" ca="1" si="36"/>
        <v>48214285.714285709</v>
      </c>
      <c r="L80" s="44">
        <f t="shared" ca="1" si="36"/>
        <v>70277777.777777776</v>
      </c>
    </row>
    <row r="81" spans="2:12" x14ac:dyDescent="0.45">
      <c r="B81" s="49" t="s">
        <v>5</v>
      </c>
      <c r="C81" s="44">
        <f t="shared" ref="C81:L81" ca="1" si="37">MAX(C56,C$75*$C$23)</f>
        <v>0</v>
      </c>
      <c r="D81" s="44">
        <f t="shared" ca="1" si="37"/>
        <v>0</v>
      </c>
      <c r="E81" s="44">
        <f t="shared" ca="1" si="37"/>
        <v>0</v>
      </c>
      <c r="F81" s="44">
        <f t="shared" ca="1" si="37"/>
        <v>0</v>
      </c>
      <c r="G81" s="44">
        <f t="shared" ca="1" si="37"/>
        <v>5000000</v>
      </c>
      <c r="H81" s="44">
        <f t="shared" ca="1" si="37"/>
        <v>8095238.0952380951</v>
      </c>
      <c r="I81" s="44">
        <f t="shared" ca="1" si="37"/>
        <v>18928571.428571429</v>
      </c>
      <c r="J81" s="44">
        <f t="shared" ca="1" si="37"/>
        <v>28928571.428571429</v>
      </c>
      <c r="K81" s="44">
        <f t="shared" ca="1" si="37"/>
        <v>48214285.714285709</v>
      </c>
      <c r="L81" s="44">
        <f t="shared" ca="1" si="37"/>
        <v>70277777.777777776</v>
      </c>
    </row>
    <row r="82" spans="2:12" x14ac:dyDescent="0.45">
      <c r="B82" s="49" t="s">
        <v>6</v>
      </c>
      <c r="C82" s="44">
        <f ca="1">C68*C75</f>
        <v>0</v>
      </c>
      <c r="D82" s="44">
        <f t="shared" ref="D82:L82" ca="1" si="38">D68*D75</f>
        <v>0</v>
      </c>
      <c r="E82" s="44">
        <f t="shared" ca="1" si="38"/>
        <v>0</v>
      </c>
      <c r="F82" s="44">
        <f t="shared" ca="1" si="38"/>
        <v>0</v>
      </c>
      <c r="G82" s="44">
        <f t="shared" ca="1" si="38"/>
        <v>0</v>
      </c>
      <c r="H82" s="44">
        <f t="shared" ca="1" si="38"/>
        <v>24285714.285714287</v>
      </c>
      <c r="I82" s="44">
        <f t="shared" ca="1" si="38"/>
        <v>56785714.285714284</v>
      </c>
      <c r="J82" s="44">
        <f t="shared" ca="1" si="38"/>
        <v>86785714.285714284</v>
      </c>
      <c r="K82" s="44">
        <f t="shared" ca="1" si="38"/>
        <v>144642857.14285713</v>
      </c>
      <c r="L82" s="44">
        <f t="shared" ca="1" si="38"/>
        <v>210833333.33333334</v>
      </c>
    </row>
    <row r="83" spans="2:12" x14ac:dyDescent="0.45">
      <c r="B83" s="49" t="s">
        <v>54</v>
      </c>
      <c r="C83" s="44">
        <f t="shared" ref="C83:L83" ca="1" si="39">C69*(C$75-$I25)</f>
        <v>0</v>
      </c>
      <c r="D83" s="44">
        <f t="shared" ca="1" si="39"/>
        <v>0</v>
      </c>
      <c r="E83" s="44">
        <f t="shared" ca="1" si="39"/>
        <v>0</v>
      </c>
      <c r="F83" s="44">
        <f t="shared" ca="1" si="39"/>
        <v>0</v>
      </c>
      <c r="G83" s="44">
        <f t="shared" ca="1" si="39"/>
        <v>0</v>
      </c>
      <c r="H83" s="44">
        <f t="shared" ca="1" si="39"/>
        <v>619047.61904761905</v>
      </c>
      <c r="I83" s="44">
        <f t="shared" ca="1" si="39"/>
        <v>2785714.2857142854</v>
      </c>
      <c r="J83" s="44">
        <f t="shared" ca="1" si="39"/>
        <v>4785714.2857142854</v>
      </c>
      <c r="K83" s="44">
        <f t="shared" ca="1" si="39"/>
        <v>8642857.1428571418</v>
      </c>
      <c r="L83" s="44">
        <f t="shared" ca="1" si="39"/>
        <v>13055555.555555556</v>
      </c>
    </row>
    <row r="84" spans="2:12" x14ac:dyDescent="0.45">
      <c r="B84" s="49" t="s">
        <v>53</v>
      </c>
      <c r="C84" s="44">
        <f t="shared" ref="C84:L84" ca="1" si="40">C70*(C$75-$I26)</f>
        <v>0</v>
      </c>
      <c r="D84" s="44">
        <f t="shared" ca="1" si="40"/>
        <v>0</v>
      </c>
      <c r="E84" s="44">
        <f t="shared" ca="1" si="40"/>
        <v>0</v>
      </c>
      <c r="F84" s="44">
        <f t="shared" ca="1" si="40"/>
        <v>0</v>
      </c>
      <c r="G84" s="44">
        <f t="shared" ca="1" si="40"/>
        <v>0</v>
      </c>
      <c r="H84" s="44">
        <f t="shared" ca="1" si="40"/>
        <v>0</v>
      </c>
      <c r="I84" s="44">
        <f t="shared" ca="1" si="40"/>
        <v>1785714.2857142857</v>
      </c>
      <c r="J84" s="44">
        <f t="shared" ca="1" si="40"/>
        <v>3785714.2857142854</v>
      </c>
      <c r="K84" s="44">
        <f t="shared" ca="1" si="40"/>
        <v>7642857.1428571427</v>
      </c>
      <c r="L84" s="44">
        <f t="shared" ca="1" si="40"/>
        <v>12055555.555555556</v>
      </c>
    </row>
    <row r="85" spans="2:12" x14ac:dyDescent="0.45">
      <c r="B85" s="49" t="s">
        <v>52</v>
      </c>
      <c r="C85" s="44">
        <f t="shared" ref="C85:L85" ca="1" si="41">C71*(C$75-$I27)</f>
        <v>0</v>
      </c>
      <c r="D85" s="44">
        <f t="shared" ca="1" si="41"/>
        <v>0</v>
      </c>
      <c r="E85" s="44">
        <f t="shared" ca="1" si="41"/>
        <v>0</v>
      </c>
      <c r="F85" s="44">
        <f t="shared" ca="1" si="41"/>
        <v>0</v>
      </c>
      <c r="G85" s="44">
        <f t="shared" ca="1" si="41"/>
        <v>0</v>
      </c>
      <c r="H85" s="44">
        <f t="shared" ca="1" si="41"/>
        <v>0</v>
      </c>
      <c r="I85" s="44">
        <f t="shared" ca="1" si="41"/>
        <v>785714.28571428556</v>
      </c>
      <c r="J85" s="44">
        <f t="shared" ca="1" si="41"/>
        <v>2785714.2857142854</v>
      </c>
      <c r="K85" s="44">
        <f t="shared" ca="1" si="41"/>
        <v>6642857.1428571427</v>
      </c>
      <c r="L85" s="44">
        <f t="shared" ca="1" si="41"/>
        <v>11055555.555555556</v>
      </c>
    </row>
    <row r="86" spans="2:12" x14ac:dyDescent="0.45">
      <c r="B86" s="51" t="s">
        <v>55</v>
      </c>
      <c r="C86" s="45">
        <f t="shared" ref="C86:L86" ca="1" si="42">C72*(C$75-$I28)</f>
        <v>0</v>
      </c>
      <c r="D86" s="45">
        <f t="shared" ca="1" si="42"/>
        <v>0</v>
      </c>
      <c r="E86" s="45">
        <f t="shared" ca="1" si="42"/>
        <v>0</v>
      </c>
      <c r="F86" s="45">
        <f t="shared" ca="1" si="42"/>
        <v>0</v>
      </c>
      <c r="G86" s="45">
        <f t="shared" ca="1" si="42"/>
        <v>0</v>
      </c>
      <c r="H86" s="45">
        <f t="shared" ca="1" si="42"/>
        <v>0</v>
      </c>
      <c r="I86" s="45">
        <f t="shared" ca="1" si="42"/>
        <v>0</v>
      </c>
      <c r="J86" s="45">
        <f t="shared" ca="1" si="42"/>
        <v>0</v>
      </c>
      <c r="K86" s="45">
        <f t="shared" ca="1" si="42"/>
        <v>0</v>
      </c>
      <c r="L86" s="45">
        <f t="shared" ca="1" si="42"/>
        <v>8111111.111111111</v>
      </c>
    </row>
    <row r="87" spans="2:12" x14ac:dyDescent="0.45">
      <c r="B87" s="67" t="s">
        <v>62</v>
      </c>
      <c r="C87" s="44">
        <f ca="1">SUM(C79:C86)</f>
        <v>0</v>
      </c>
      <c r="D87" s="44">
        <f t="shared" ref="D87:L87" ca="1" si="43">SUM(D79:D86)</f>
        <v>0</v>
      </c>
      <c r="E87" s="44">
        <f t="shared" ca="1" si="43"/>
        <v>60000000</v>
      </c>
      <c r="F87" s="44">
        <f t="shared" ca="1" si="43"/>
        <v>75000000</v>
      </c>
      <c r="G87" s="44">
        <f t="shared" ca="1" si="43"/>
        <v>80000000</v>
      </c>
      <c r="H87" s="44">
        <f t="shared" ca="1" si="43"/>
        <v>107999999.99999999</v>
      </c>
      <c r="I87" s="44">
        <f t="shared" ca="1" si="43"/>
        <v>160000000.00000003</v>
      </c>
      <c r="J87" s="44">
        <f t="shared" ca="1" si="43"/>
        <v>216000000.00000003</v>
      </c>
      <c r="K87" s="44">
        <f t="shared" ca="1" si="43"/>
        <v>323999999.99999994</v>
      </c>
      <c r="L87" s="44">
        <f t="shared" ca="1" si="43"/>
        <v>480000000.00000006</v>
      </c>
    </row>
    <row r="88" spans="2:12" x14ac:dyDescent="0.45">
      <c r="J88" s="36"/>
      <c r="K88" s="36"/>
      <c r="L88" s="36"/>
    </row>
    <row r="89" spans="2:12" x14ac:dyDescent="0.45">
      <c r="B89" s="37" t="s">
        <v>32</v>
      </c>
      <c r="C89" s="58">
        <f t="shared" ref="C89:L89" si="44">IF(C41&gt;0,C87-C41,0)</f>
        <v>0</v>
      </c>
      <c r="D89" s="58">
        <f t="shared" si="44"/>
        <v>0</v>
      </c>
      <c r="E89" s="58">
        <f t="shared" ca="1" si="44"/>
        <v>0</v>
      </c>
      <c r="F89" s="58">
        <f t="shared" ca="1" si="44"/>
        <v>0</v>
      </c>
      <c r="G89" s="58">
        <f t="shared" ca="1" si="44"/>
        <v>0</v>
      </c>
      <c r="H89" s="58">
        <f t="shared" ca="1" si="44"/>
        <v>-1.4901161193847656E-8</v>
      </c>
      <c r="I89" s="58">
        <f t="shared" ca="1" si="44"/>
        <v>2.9802322387695313E-8</v>
      </c>
      <c r="J89" s="58">
        <f t="shared" ca="1" si="44"/>
        <v>2.9802322387695313E-8</v>
      </c>
      <c r="K89" s="58">
        <f t="shared" ca="1" si="44"/>
        <v>-5.9604644775390625E-8</v>
      </c>
      <c r="L89" s="58">
        <f t="shared" ca="1" si="44"/>
        <v>5.9604644775390625E-8</v>
      </c>
    </row>
    <row r="90" spans="2:12" x14ac:dyDescent="0.45">
      <c r="J90" s="36"/>
      <c r="K90" s="36"/>
      <c r="L90" s="36"/>
    </row>
    <row r="91" spans="2:12" s="38" customFormat="1" ht="33" customHeight="1" x14ac:dyDescent="0.45">
      <c r="B91" s="10" t="s">
        <v>44</v>
      </c>
      <c r="C91" s="39"/>
      <c r="D91" s="39"/>
      <c r="E91" s="39"/>
      <c r="F91" s="39"/>
      <c r="G91" s="39"/>
      <c r="H91" s="39"/>
      <c r="I91" s="39"/>
      <c r="J91" s="39"/>
      <c r="K91" s="39"/>
      <c r="L91" s="39"/>
    </row>
    <row r="92" spans="2:12" s="38" customFormat="1" x14ac:dyDescent="0.45">
      <c r="B92" s="57" t="s">
        <v>4</v>
      </c>
      <c r="C92" s="39"/>
      <c r="D92" s="39"/>
      <c r="E92" s="39"/>
      <c r="F92" s="39"/>
      <c r="G92" s="39"/>
      <c r="H92" s="39"/>
      <c r="I92" s="39"/>
      <c r="J92" s="39"/>
      <c r="K92" s="39"/>
      <c r="L92" s="39"/>
    </row>
    <row r="93" spans="2:12" s="38" customFormat="1" x14ac:dyDescent="0.45">
      <c r="B93" s="49" t="s">
        <v>39</v>
      </c>
      <c r="C93" s="59">
        <f t="shared" ref="C93:L93" ca="1" si="45">IFERROR(C79/C$87,0)</f>
        <v>0</v>
      </c>
      <c r="D93" s="59">
        <f t="shared" ca="1" si="45"/>
        <v>0</v>
      </c>
      <c r="E93" s="59">
        <f t="shared" ca="1" si="45"/>
        <v>1</v>
      </c>
      <c r="F93" s="59">
        <f t="shared" ca="1" si="45"/>
        <v>0.8</v>
      </c>
      <c r="G93" s="59">
        <f t="shared" ca="1" si="45"/>
        <v>0.75</v>
      </c>
      <c r="H93" s="59">
        <f t="shared" ca="1" si="45"/>
        <v>0.55555555555555558</v>
      </c>
      <c r="I93" s="59">
        <f t="shared" ca="1" si="45"/>
        <v>0.37499999999999994</v>
      </c>
      <c r="J93" s="59">
        <f t="shared" ca="1" si="45"/>
        <v>0.27777777777777773</v>
      </c>
      <c r="K93" s="59">
        <f t="shared" ca="1" si="45"/>
        <v>0.18518518518518523</v>
      </c>
      <c r="L93" s="59">
        <f t="shared" ca="1" si="45"/>
        <v>0.1756944444444444</v>
      </c>
    </row>
    <row r="94" spans="2:12" s="38" customFormat="1" x14ac:dyDescent="0.45">
      <c r="B94" s="49" t="s">
        <v>38</v>
      </c>
      <c r="C94" s="59">
        <f t="shared" ref="C94:L94" ca="1" si="46">IFERROR(C80/C$87,0)</f>
        <v>0</v>
      </c>
      <c r="D94" s="59">
        <f t="shared" ca="1" si="46"/>
        <v>0</v>
      </c>
      <c r="E94" s="59">
        <f t="shared" ca="1" si="46"/>
        <v>0</v>
      </c>
      <c r="F94" s="59">
        <f t="shared" ca="1" si="46"/>
        <v>0.2</v>
      </c>
      <c r="G94" s="59">
        <f t="shared" ca="1" si="46"/>
        <v>0.1875</v>
      </c>
      <c r="H94" s="59">
        <f t="shared" ca="1" si="46"/>
        <v>0.1388888888888889</v>
      </c>
      <c r="I94" s="59">
        <f t="shared" ca="1" si="46"/>
        <v>0.11830357142857141</v>
      </c>
      <c r="J94" s="59">
        <f t="shared" ca="1" si="46"/>
        <v>0.13392857142857142</v>
      </c>
      <c r="K94" s="59">
        <f t="shared" ca="1" si="46"/>
        <v>0.14880952380952381</v>
      </c>
      <c r="L94" s="59">
        <f t="shared" ca="1" si="46"/>
        <v>0.14641203703703701</v>
      </c>
    </row>
    <row r="95" spans="2:12" s="38" customFormat="1" x14ac:dyDescent="0.45">
      <c r="B95" s="49" t="s">
        <v>5</v>
      </c>
      <c r="C95" s="59">
        <f t="shared" ref="C95:L95" ca="1" si="47">IFERROR(C81/C$87,0)</f>
        <v>0</v>
      </c>
      <c r="D95" s="59">
        <f t="shared" ca="1" si="47"/>
        <v>0</v>
      </c>
      <c r="E95" s="59">
        <f t="shared" ca="1" si="47"/>
        <v>0</v>
      </c>
      <c r="F95" s="59">
        <f t="shared" ca="1" si="47"/>
        <v>0</v>
      </c>
      <c r="G95" s="59">
        <f t="shared" ca="1" si="47"/>
        <v>6.25E-2</v>
      </c>
      <c r="H95" s="59">
        <f t="shared" ca="1" si="47"/>
        <v>7.4955908289241632E-2</v>
      </c>
      <c r="I95" s="59">
        <f t="shared" ca="1" si="47"/>
        <v>0.11830357142857141</v>
      </c>
      <c r="J95" s="59">
        <f t="shared" ca="1" si="47"/>
        <v>0.13392857142857142</v>
      </c>
      <c r="K95" s="59">
        <f t="shared" ca="1" si="47"/>
        <v>0.14880952380952381</v>
      </c>
      <c r="L95" s="59">
        <f t="shared" ca="1" si="47"/>
        <v>0.14641203703703701</v>
      </c>
    </row>
    <row r="96" spans="2:12" s="38" customFormat="1" x14ac:dyDescent="0.45">
      <c r="B96" s="49" t="s">
        <v>6</v>
      </c>
      <c r="C96" s="59">
        <f t="shared" ref="C96:L96" ca="1" si="48">IFERROR(C82/C$87,0)</f>
        <v>0</v>
      </c>
      <c r="D96" s="59">
        <f t="shared" ca="1" si="48"/>
        <v>0</v>
      </c>
      <c r="E96" s="59">
        <f t="shared" ca="1" si="48"/>
        <v>0</v>
      </c>
      <c r="F96" s="59">
        <f t="shared" ca="1" si="48"/>
        <v>0</v>
      </c>
      <c r="G96" s="59">
        <f t="shared" ca="1" si="48"/>
        <v>0</v>
      </c>
      <c r="H96" s="59">
        <f t="shared" ca="1" si="48"/>
        <v>0.22486772486772491</v>
      </c>
      <c r="I96" s="59">
        <f t="shared" ca="1" si="48"/>
        <v>0.35491071428571419</v>
      </c>
      <c r="J96" s="59">
        <f t="shared" ca="1" si="48"/>
        <v>0.40178571428571425</v>
      </c>
      <c r="K96" s="59">
        <f t="shared" ca="1" si="48"/>
        <v>0.44642857142857151</v>
      </c>
      <c r="L96" s="59">
        <f t="shared" ca="1" si="48"/>
        <v>0.4392361111111111</v>
      </c>
    </row>
    <row r="97" spans="2:13" s="38" customFormat="1" x14ac:dyDescent="0.45">
      <c r="B97" s="49" t="s">
        <v>54</v>
      </c>
      <c r="C97" s="59">
        <f t="shared" ref="C97:L97" ca="1" si="49">IFERROR(C83/C$87,0)</f>
        <v>0</v>
      </c>
      <c r="D97" s="59">
        <f t="shared" ca="1" si="49"/>
        <v>0</v>
      </c>
      <c r="E97" s="59">
        <f t="shared" ca="1" si="49"/>
        <v>0</v>
      </c>
      <c r="F97" s="59">
        <f t="shared" ca="1" si="49"/>
        <v>0</v>
      </c>
      <c r="G97" s="59">
        <f t="shared" ca="1" si="49"/>
        <v>0</v>
      </c>
      <c r="H97" s="59">
        <f t="shared" ca="1" si="49"/>
        <v>5.7319223985890658E-3</v>
      </c>
      <c r="I97" s="59">
        <f t="shared" ca="1" si="49"/>
        <v>1.7410714285714279E-2</v>
      </c>
      <c r="J97" s="59">
        <f t="shared" ca="1" si="49"/>
        <v>2.2156084656084651E-2</v>
      </c>
      <c r="K97" s="59">
        <f t="shared" ca="1" si="49"/>
        <v>2.6675485008818344E-2</v>
      </c>
      <c r="L97" s="59">
        <f t="shared" ca="1" si="49"/>
        <v>2.719907407407407E-2</v>
      </c>
    </row>
    <row r="98" spans="2:13" s="38" customFormat="1" x14ac:dyDescent="0.45">
      <c r="B98" s="49" t="s">
        <v>53</v>
      </c>
      <c r="C98" s="59">
        <f t="shared" ref="C98:L98" ca="1" si="50">IFERROR(C84/C$87,0)</f>
        <v>0</v>
      </c>
      <c r="D98" s="59">
        <f t="shared" ca="1" si="50"/>
        <v>0</v>
      </c>
      <c r="E98" s="59">
        <f t="shared" ca="1" si="50"/>
        <v>0</v>
      </c>
      <c r="F98" s="59">
        <f t="shared" ca="1" si="50"/>
        <v>0</v>
      </c>
      <c r="G98" s="59">
        <f t="shared" ca="1" si="50"/>
        <v>0</v>
      </c>
      <c r="H98" s="59">
        <f t="shared" ca="1" si="50"/>
        <v>0</v>
      </c>
      <c r="I98" s="59">
        <f t="shared" ca="1" si="50"/>
        <v>1.1160714285714284E-2</v>
      </c>
      <c r="J98" s="59">
        <f t="shared" ca="1" si="50"/>
        <v>1.7526455026455022E-2</v>
      </c>
      <c r="K98" s="59">
        <f t="shared" ca="1" si="50"/>
        <v>2.3589065255731928E-2</v>
      </c>
      <c r="L98" s="59">
        <f t="shared" ca="1" si="50"/>
        <v>2.5115740740740737E-2</v>
      </c>
    </row>
    <row r="99" spans="2:13" s="38" customFormat="1" x14ac:dyDescent="0.45">
      <c r="B99" s="49" t="s">
        <v>52</v>
      </c>
      <c r="C99" s="59">
        <f t="shared" ref="C99:L99" ca="1" si="51">IFERROR(C85/C$87,0)</f>
        <v>0</v>
      </c>
      <c r="D99" s="59">
        <f t="shared" ca="1" si="51"/>
        <v>0</v>
      </c>
      <c r="E99" s="59">
        <f t="shared" ca="1" si="51"/>
        <v>0</v>
      </c>
      <c r="F99" s="59">
        <f t="shared" ca="1" si="51"/>
        <v>0</v>
      </c>
      <c r="G99" s="59">
        <f t="shared" ca="1" si="51"/>
        <v>0</v>
      </c>
      <c r="H99" s="59">
        <f t="shared" ca="1" si="51"/>
        <v>0</v>
      </c>
      <c r="I99" s="59">
        <f t="shared" ca="1" si="51"/>
        <v>4.9107142857142839E-3</v>
      </c>
      <c r="J99" s="59">
        <f t="shared" ca="1" si="51"/>
        <v>1.2896825396825394E-2</v>
      </c>
      <c r="K99" s="59">
        <f t="shared" ca="1" si="51"/>
        <v>2.0502645502645505E-2</v>
      </c>
      <c r="L99" s="59">
        <f t="shared" ca="1" si="51"/>
        <v>2.3032407407407404E-2</v>
      </c>
    </row>
    <row r="100" spans="2:13" s="38" customFormat="1" x14ac:dyDescent="0.45">
      <c r="B100" s="51" t="s">
        <v>55</v>
      </c>
      <c r="C100" s="60">
        <f t="shared" ref="C100:L100" ca="1" si="52">IFERROR(C86/C$87,0)</f>
        <v>0</v>
      </c>
      <c r="D100" s="60">
        <f t="shared" ca="1" si="52"/>
        <v>0</v>
      </c>
      <c r="E100" s="60">
        <f t="shared" ca="1" si="52"/>
        <v>0</v>
      </c>
      <c r="F100" s="60">
        <f t="shared" ca="1" si="52"/>
        <v>0</v>
      </c>
      <c r="G100" s="60">
        <f t="shared" ca="1" si="52"/>
        <v>0</v>
      </c>
      <c r="H100" s="60">
        <f t="shared" ca="1" si="52"/>
        <v>0</v>
      </c>
      <c r="I100" s="60">
        <f t="shared" ca="1" si="52"/>
        <v>0</v>
      </c>
      <c r="J100" s="60">
        <f t="shared" ca="1" si="52"/>
        <v>0</v>
      </c>
      <c r="K100" s="60">
        <f t="shared" ca="1" si="52"/>
        <v>0</v>
      </c>
      <c r="L100" s="60">
        <f t="shared" ca="1" si="52"/>
        <v>1.6898148148148145E-2</v>
      </c>
    </row>
    <row r="101" spans="2:13" x14ac:dyDescent="0.45">
      <c r="B101" s="55" t="s">
        <v>31</v>
      </c>
      <c r="C101" s="59">
        <f t="shared" ref="C101:L101" ca="1" si="53">SUM(C92:C100)</f>
        <v>0</v>
      </c>
      <c r="D101" s="59">
        <f t="shared" ca="1" si="53"/>
        <v>0</v>
      </c>
      <c r="E101" s="59">
        <f t="shared" ca="1" si="53"/>
        <v>1</v>
      </c>
      <c r="F101" s="59">
        <f t="shared" ca="1" si="53"/>
        <v>1</v>
      </c>
      <c r="G101" s="59">
        <f t="shared" ca="1" si="53"/>
        <v>1</v>
      </c>
      <c r="H101" s="59">
        <f t="shared" ca="1" si="53"/>
        <v>1</v>
      </c>
      <c r="I101" s="59">
        <f t="shared" ca="1" si="53"/>
        <v>0.99999999999999989</v>
      </c>
      <c r="J101" s="59">
        <f t="shared" ca="1" si="53"/>
        <v>0.99999999999999989</v>
      </c>
      <c r="K101" s="59">
        <f t="shared" ca="1" si="53"/>
        <v>1.0000000000000002</v>
      </c>
      <c r="L101" s="59">
        <f t="shared" ca="1" si="53"/>
        <v>0.99999999999999989</v>
      </c>
      <c r="M101" s="14"/>
    </row>
    <row r="102" spans="2:13" x14ac:dyDescent="0.45">
      <c r="B102" s="55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</row>
    <row r="103" spans="2:13" ht="33" customHeight="1" x14ac:dyDescent="0.45">
      <c r="B103" s="10" t="s">
        <v>61</v>
      </c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</row>
    <row r="104" spans="2:13" x14ac:dyDescent="0.45">
      <c r="B104" s="57" t="s">
        <v>4</v>
      </c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</row>
    <row r="105" spans="2:13" x14ac:dyDescent="0.45">
      <c r="B105" s="49" t="s">
        <v>39</v>
      </c>
      <c r="C105" s="27">
        <f t="shared" ref="C105:L105" ca="1" si="54">C79/$C21</f>
        <v>0</v>
      </c>
      <c r="D105" s="27">
        <f t="shared" ca="1" si="54"/>
        <v>0</v>
      </c>
      <c r="E105" s="27">
        <f t="shared" ca="1" si="54"/>
        <v>20</v>
      </c>
      <c r="F105" s="27">
        <f t="shared" ca="1" si="54"/>
        <v>20</v>
      </c>
      <c r="G105" s="27">
        <f t="shared" ca="1" si="54"/>
        <v>20</v>
      </c>
      <c r="H105" s="27">
        <f t="shared" ca="1" si="54"/>
        <v>20</v>
      </c>
      <c r="I105" s="27">
        <f t="shared" ca="1" si="54"/>
        <v>20</v>
      </c>
      <c r="J105" s="27">
        <f t="shared" ca="1" si="54"/>
        <v>20</v>
      </c>
      <c r="K105" s="27">
        <f t="shared" ca="1" si="54"/>
        <v>20</v>
      </c>
      <c r="L105" s="27">
        <f t="shared" ca="1" si="54"/>
        <v>28.111111111111111</v>
      </c>
      <c r="M105" s="14"/>
    </row>
    <row r="106" spans="2:13" x14ac:dyDescent="0.45">
      <c r="B106" s="49" t="s">
        <v>38</v>
      </c>
      <c r="C106" s="27">
        <f t="shared" ref="C106:L106" ca="1" si="55">C80/$C22</f>
        <v>0</v>
      </c>
      <c r="D106" s="27">
        <f t="shared" ca="1" si="55"/>
        <v>0</v>
      </c>
      <c r="E106" s="27">
        <f t="shared" ca="1" si="55"/>
        <v>0</v>
      </c>
      <c r="F106" s="27">
        <f t="shared" ca="1" si="55"/>
        <v>6</v>
      </c>
      <c r="G106" s="27">
        <f t="shared" ca="1" si="55"/>
        <v>6</v>
      </c>
      <c r="H106" s="27">
        <f t="shared" ca="1" si="55"/>
        <v>6</v>
      </c>
      <c r="I106" s="27">
        <f t="shared" ca="1" si="55"/>
        <v>7.5714285714285721</v>
      </c>
      <c r="J106" s="27">
        <f t="shared" ca="1" si="55"/>
        <v>11.571428571428571</v>
      </c>
      <c r="K106" s="27">
        <f t="shared" ca="1" si="55"/>
        <v>19.285714285714285</v>
      </c>
      <c r="L106" s="27">
        <f t="shared" ca="1" si="55"/>
        <v>28.111111111111111</v>
      </c>
      <c r="M106" s="14"/>
    </row>
    <row r="107" spans="2:13" x14ac:dyDescent="0.45">
      <c r="B107" s="49" t="s">
        <v>5</v>
      </c>
      <c r="C107" s="27">
        <f t="shared" ref="C107:L107" ca="1" si="56">C81/$C23</f>
        <v>0</v>
      </c>
      <c r="D107" s="27">
        <f t="shared" ca="1" si="56"/>
        <v>0</v>
      </c>
      <c r="E107" s="27">
        <f t="shared" ca="1" si="56"/>
        <v>0</v>
      </c>
      <c r="F107" s="27">
        <f t="shared" ca="1" si="56"/>
        <v>0</v>
      </c>
      <c r="G107" s="27">
        <f t="shared" ca="1" si="56"/>
        <v>2</v>
      </c>
      <c r="H107" s="27">
        <f t="shared" ca="1" si="56"/>
        <v>3.2380952380952381</v>
      </c>
      <c r="I107" s="27">
        <f t="shared" ca="1" si="56"/>
        <v>7.5714285714285721</v>
      </c>
      <c r="J107" s="27">
        <f t="shared" ca="1" si="56"/>
        <v>11.571428571428571</v>
      </c>
      <c r="K107" s="27">
        <f t="shared" ca="1" si="56"/>
        <v>19.285714285714285</v>
      </c>
      <c r="L107" s="27">
        <f t="shared" ca="1" si="56"/>
        <v>28.111111111111111</v>
      </c>
    </row>
    <row r="108" spans="2:13" x14ac:dyDescent="0.45">
      <c r="B108" s="49" t="s">
        <v>6</v>
      </c>
      <c r="C108" s="27">
        <f t="shared" ref="C108:L108" ca="1" si="57">C82/$C24</f>
        <v>0</v>
      </c>
      <c r="D108" s="27">
        <f t="shared" ca="1" si="57"/>
        <v>0</v>
      </c>
      <c r="E108" s="27">
        <f t="shared" ca="1" si="57"/>
        <v>0</v>
      </c>
      <c r="F108" s="27">
        <f t="shared" ca="1" si="57"/>
        <v>0</v>
      </c>
      <c r="G108" s="27">
        <f t="shared" ca="1" si="57"/>
        <v>0</v>
      </c>
      <c r="H108" s="27">
        <f t="shared" ca="1" si="57"/>
        <v>3.2380952380952381</v>
      </c>
      <c r="I108" s="27">
        <f t="shared" ca="1" si="57"/>
        <v>7.5714285714285712</v>
      </c>
      <c r="J108" s="27">
        <f t="shared" ca="1" si="57"/>
        <v>11.571428571428571</v>
      </c>
      <c r="K108" s="27">
        <f t="shared" ca="1" si="57"/>
        <v>19.285714285714285</v>
      </c>
      <c r="L108" s="27">
        <f t="shared" ca="1" si="57"/>
        <v>28.111111111111111</v>
      </c>
    </row>
    <row r="109" spans="2:13" x14ac:dyDescent="0.45">
      <c r="B109" s="49" t="s">
        <v>54</v>
      </c>
      <c r="C109" s="27">
        <f t="shared" ref="C109:L109" ca="1" si="58">C83/$C25</f>
        <v>0</v>
      </c>
      <c r="D109" s="27">
        <f t="shared" ca="1" si="58"/>
        <v>0</v>
      </c>
      <c r="E109" s="27">
        <f t="shared" ca="1" si="58"/>
        <v>0</v>
      </c>
      <c r="F109" s="27">
        <f t="shared" ca="1" si="58"/>
        <v>0</v>
      </c>
      <c r="G109" s="27">
        <f t="shared" ca="1" si="58"/>
        <v>0</v>
      </c>
      <c r="H109" s="27">
        <f t="shared" ca="1" si="58"/>
        <v>1.2380952380952381</v>
      </c>
      <c r="I109" s="27">
        <f t="shared" ca="1" si="58"/>
        <v>5.5714285714285712</v>
      </c>
      <c r="J109" s="27">
        <f t="shared" ca="1" si="58"/>
        <v>9.5714285714285712</v>
      </c>
      <c r="K109" s="27">
        <f t="shared" ca="1" si="58"/>
        <v>17.285714285714285</v>
      </c>
      <c r="L109" s="27">
        <f t="shared" ca="1" si="58"/>
        <v>26.111111111111111</v>
      </c>
    </row>
    <row r="110" spans="2:13" x14ac:dyDescent="0.45">
      <c r="B110" s="49" t="s">
        <v>53</v>
      </c>
      <c r="C110" s="27">
        <f t="shared" ref="C110:L110" ca="1" si="59">C84/$C26</f>
        <v>0</v>
      </c>
      <c r="D110" s="27">
        <f t="shared" ca="1" si="59"/>
        <v>0</v>
      </c>
      <c r="E110" s="27">
        <f t="shared" ca="1" si="59"/>
        <v>0</v>
      </c>
      <c r="F110" s="27">
        <f t="shared" ca="1" si="59"/>
        <v>0</v>
      </c>
      <c r="G110" s="27">
        <f t="shared" ca="1" si="59"/>
        <v>0</v>
      </c>
      <c r="H110" s="27">
        <f t="shared" ca="1" si="59"/>
        <v>0</v>
      </c>
      <c r="I110" s="27">
        <f t="shared" ca="1" si="59"/>
        <v>3.5714285714285712</v>
      </c>
      <c r="J110" s="27">
        <f t="shared" ca="1" si="59"/>
        <v>7.5714285714285712</v>
      </c>
      <c r="K110" s="27">
        <f t="shared" ca="1" si="59"/>
        <v>15.285714285714285</v>
      </c>
      <c r="L110" s="27">
        <f t="shared" ca="1" si="59"/>
        <v>24.111111111111111</v>
      </c>
    </row>
    <row r="111" spans="2:13" x14ac:dyDescent="0.45">
      <c r="B111" s="49" t="s">
        <v>52</v>
      </c>
      <c r="C111" s="27">
        <f t="shared" ref="C111:L111" ca="1" si="60">C85/$C27</f>
        <v>0</v>
      </c>
      <c r="D111" s="27">
        <f t="shared" ca="1" si="60"/>
        <v>0</v>
      </c>
      <c r="E111" s="27">
        <f t="shared" ca="1" si="60"/>
        <v>0</v>
      </c>
      <c r="F111" s="27">
        <f t="shared" ca="1" si="60"/>
        <v>0</v>
      </c>
      <c r="G111" s="27">
        <f t="shared" ca="1" si="60"/>
        <v>0</v>
      </c>
      <c r="H111" s="27">
        <f t="shared" ca="1" si="60"/>
        <v>0</v>
      </c>
      <c r="I111" s="27">
        <f t="shared" ca="1" si="60"/>
        <v>1.5714285714285712</v>
      </c>
      <c r="J111" s="27">
        <f t="shared" ca="1" si="60"/>
        <v>5.5714285714285712</v>
      </c>
      <c r="K111" s="27">
        <f t="shared" ca="1" si="60"/>
        <v>13.285714285714285</v>
      </c>
      <c r="L111" s="27">
        <f t="shared" ca="1" si="60"/>
        <v>22.111111111111111</v>
      </c>
    </row>
    <row r="112" spans="2:13" x14ac:dyDescent="0.45">
      <c r="B112" s="51" t="s">
        <v>55</v>
      </c>
      <c r="C112" s="28">
        <f t="shared" ref="C112:L112" ca="1" si="61">C86/$C28</f>
        <v>0</v>
      </c>
      <c r="D112" s="28">
        <f t="shared" ca="1" si="61"/>
        <v>0</v>
      </c>
      <c r="E112" s="28">
        <f t="shared" ca="1" si="61"/>
        <v>0</v>
      </c>
      <c r="F112" s="28">
        <f t="shared" ca="1" si="61"/>
        <v>0</v>
      </c>
      <c r="G112" s="28">
        <f t="shared" ca="1" si="61"/>
        <v>0</v>
      </c>
      <c r="H112" s="28">
        <f t="shared" ca="1" si="61"/>
        <v>0</v>
      </c>
      <c r="I112" s="28">
        <f t="shared" ca="1" si="61"/>
        <v>0</v>
      </c>
      <c r="J112" s="28">
        <f t="shared" ca="1" si="61"/>
        <v>0</v>
      </c>
      <c r="K112" s="28">
        <f t="shared" ca="1" si="61"/>
        <v>0</v>
      </c>
      <c r="L112" s="28">
        <f t="shared" ca="1" si="61"/>
        <v>8.1111111111111107</v>
      </c>
    </row>
    <row r="113" spans="2:12" x14ac:dyDescent="0.45">
      <c r="B113" s="55" t="s">
        <v>33</v>
      </c>
      <c r="C113" s="14">
        <f ca="1">C87/$C$29</f>
        <v>0</v>
      </c>
      <c r="D113" s="14">
        <f t="shared" ref="D113:L113" ca="1" si="62">D87/$C$29</f>
        <v>0</v>
      </c>
      <c r="E113" s="14">
        <f t="shared" ca="1" si="62"/>
        <v>3.3333333333333335</v>
      </c>
      <c r="F113" s="14">
        <f t="shared" ca="1" si="62"/>
        <v>4.166666666666667</v>
      </c>
      <c r="G113" s="14">
        <f t="shared" ca="1" si="62"/>
        <v>4.4444444444444446</v>
      </c>
      <c r="H113" s="14">
        <f t="shared" ca="1" si="62"/>
        <v>5.9999999999999991</v>
      </c>
      <c r="I113" s="14">
        <f t="shared" ca="1" si="62"/>
        <v>8.8888888888888911</v>
      </c>
      <c r="J113" s="14">
        <f t="shared" ca="1" si="62"/>
        <v>12.000000000000002</v>
      </c>
      <c r="K113" s="14">
        <f t="shared" ca="1" si="62"/>
        <v>17.999999999999996</v>
      </c>
      <c r="L113" s="14">
        <f t="shared" ca="1" si="62"/>
        <v>26.666666666666671</v>
      </c>
    </row>
  </sheetData>
  <pageMargins left="0.7" right="0.7" top="0.75" bottom="0.75" header="0.3" footer="0.3"/>
  <pageSetup orientation="portrait" horizontalDpi="4294967293" r:id="rId1"/>
  <ignoredErrors>
    <ignoredError sqref="E12:F12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Top Down (B)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Support</dc:creator>
  <cp:lastModifiedBy>Support</cp:lastModifiedBy>
  <dcterms:created xsi:type="dcterms:W3CDTF">2021-11-08T21:23:23Z</dcterms:created>
  <dcterms:modified xsi:type="dcterms:W3CDTF">2022-05-06T02:01:25Z</dcterms:modified>
</cp:coreProperties>
</file>